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900" firstSheet="1" activeTab="4"/>
  </bookViews>
  <sheets>
    <sheet name="Checkbook Balance" sheetId="1" r:id="rId1"/>
    <sheet name="Loan Payment" sheetId="2" r:id="rId2"/>
    <sheet name="BMI &amp; Calorie" sheetId="3" r:id="rId3"/>
    <sheet name="Blood Pressure" sheetId="4" r:id="rId4"/>
    <sheet name="Conversion" sheetId="5" r:id="rId5"/>
    <sheet name="Convert" sheetId="6" r:id="rId6"/>
    <sheet name="Right Triangle" sheetId="7" r:id="rId7"/>
    <sheet name="Tap Drill" sheetId="8" r:id="rId8"/>
    <sheet name="Drill Bit Equivalence" sheetId="9" r:id="rId9"/>
    <sheet name="Chart 1" sheetId="10" r:id="rId10"/>
    <sheet name="Chart 2" sheetId="11" r:id="rId11"/>
    <sheet name="Bolt Circle" sheetId="12" r:id="rId12"/>
    <sheet name="Spiral" sheetId="13" r:id="rId13"/>
    <sheet name="Rotate" sheetId="14" r:id="rId14"/>
    <sheet name="Cone Fab" sheetId="15" r:id="rId15"/>
    <sheet name="Circle Segment" sheetId="16" r:id="rId16"/>
    <sheet name="Polygon" sheetId="17" r:id="rId17"/>
    <sheet name="Trig Function" sheetId="18" r:id="rId18"/>
    <sheet name="Data" sheetId="19" state="hidden" r:id="rId19"/>
  </sheets>
  <definedNames>
    <definedName name="CELLNOTE0" localSheetId="11">'Bolt Circle'!#REF!</definedName>
    <definedName name="CELLNOTE0" localSheetId="12">'Spiral'!#REF!</definedName>
    <definedName name="_xlnm.Print_Area" localSheetId="11">'Bolt Circle'!$B$1:$K$52</definedName>
    <definedName name="_xlnm.Print_Area" localSheetId="4">'Conversion'!$B$1:$I$20</definedName>
    <definedName name="_xlnm.Print_Area" localSheetId="5">'Convert'!$B$2:$C$9</definedName>
    <definedName name="_xlnm.Print_Area" localSheetId="1">OFFSET('Loan Payment'!$A$1,0,0,(COUNTIF('Loan Payment'!$I$12:$I$383,"=End of year*")*12)+11,9)</definedName>
    <definedName name="_xlnm.Print_Area" localSheetId="6">'Right Triangle'!$B$1:$I$21</definedName>
    <definedName name="_xlnm.Print_Area" localSheetId="12">'Spiral'!$B$1:$S$53</definedName>
    <definedName name="_xlnm.Print_Titles" localSheetId="1">'Loan Payment'!$10:$11</definedName>
  </definedNames>
  <calcPr fullCalcOnLoad="1"/>
</workbook>
</file>

<file path=xl/comments12.xml><?xml version="1.0" encoding="utf-8"?>
<comments xmlns="http://schemas.openxmlformats.org/spreadsheetml/2006/main">
  <authors>
    <author>N May</author>
  </authors>
  <commentList>
    <comment ref="C7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If you want holes calculated in a Counter Clockwise rotation, enter a NEGATIVE # of holes.
Maximum # of holes is 100.</t>
        </r>
      </text>
    </comment>
    <comment ref="C13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  <comment ref="C17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8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4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</commentList>
</comments>
</file>

<file path=xl/comments13.xml><?xml version="1.0" encoding="utf-8"?>
<comments xmlns="http://schemas.openxmlformats.org/spreadsheetml/2006/main">
  <authors>
    <author>N May</author>
  </authors>
  <commentList>
    <comment ref="C5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Enter the degrees of seperation to the next hole.
EXAMPLE: Enter 1.5 for 1 degree 30 minutes.
If you want holes calculated in a Counter Clockwise rotation, enter a NEGATIVE DEGREE.</t>
        </r>
      </text>
    </comment>
    <comment ref="C20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6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2" authorId="0">
      <text>
        <r>
          <rPr>
            <sz val="16"/>
            <rFont val="Tahoma"/>
            <family val="2"/>
          </rPr>
          <t>Enter the desired radius difference per hole.
A negative number will calculate a decreasing radius.</t>
        </r>
      </text>
    </comment>
    <comment ref="C13" authorId="0">
      <text>
        <r>
          <rPr>
            <sz val="16"/>
            <rFont val="Tahoma"/>
            <family val="2"/>
          </rPr>
          <t>Enter the desired radius difference per revolution.
A negative number will calculate a decreasing radius.</t>
        </r>
      </text>
    </comment>
    <comment ref="C17" authorId="0">
      <text>
        <r>
          <rPr>
            <sz val="16"/>
            <rFont val="Tahoma"/>
            <family val="2"/>
          </rPr>
          <t>Enter the desired number of revolutions.</t>
        </r>
      </text>
    </comment>
  </commentList>
</comments>
</file>

<file path=xl/sharedStrings.xml><?xml version="1.0" encoding="utf-8"?>
<sst xmlns="http://schemas.openxmlformats.org/spreadsheetml/2006/main" count="2964" uniqueCount="925">
  <si>
    <t>Outstanding Checks</t>
  </si>
  <si>
    <t>Checkbook Reconciliation</t>
  </si>
  <si>
    <t>&amp; ATM Withdrawals</t>
  </si>
  <si>
    <t>Check#</t>
  </si>
  <si>
    <t>Amount</t>
  </si>
  <si>
    <t>Ending Balance</t>
  </si>
  <si>
    <t>Checkbook</t>
  </si>
  <si>
    <t>on Statement</t>
  </si>
  <si>
    <t>Balance</t>
  </si>
  <si>
    <t>Bank</t>
  </si>
  <si>
    <t>Deposits</t>
  </si>
  <si>
    <t>Charges</t>
  </si>
  <si>
    <t>Not Credited</t>
  </si>
  <si>
    <t>Interest</t>
  </si>
  <si>
    <t>Total Deposits</t>
  </si>
  <si>
    <t>Total 1</t>
  </si>
  <si>
    <t>Total 2</t>
  </si>
  <si>
    <t>Total 1 &amp; 2 should be the same</t>
  </si>
  <si>
    <t>Total 1 &amp; 2 Difference</t>
  </si>
  <si>
    <t>Total withdrawals outstanding:</t>
  </si>
  <si>
    <t>Loan Payment Calculator</t>
  </si>
  <si>
    <t>For a fixed rate loan (360 month maximum)</t>
  </si>
  <si>
    <t>No $ sign</t>
  </si>
  <si>
    <t>Amount of money borrowed</t>
  </si>
  <si>
    <t>Monthly payment</t>
  </si>
  <si>
    <t>No % sign</t>
  </si>
  <si>
    <t>Annual interest rate. Example: 8.5% = 8.5</t>
  </si>
  <si>
    <t>Total interest paid</t>
  </si>
  <si>
    <t>Number of monthly payments</t>
  </si>
  <si>
    <t>Total amount repaid</t>
  </si>
  <si>
    <t>Enter 1 - 12</t>
  </si>
  <si>
    <t>Month first payment due. Example May = 5</t>
  </si>
  <si>
    <t>Year Loan</t>
  </si>
  <si>
    <t>Desired Additional Money Paid Monthly</t>
  </si>
  <si>
    <t>Pmnt</t>
  </si>
  <si>
    <t>Beginning</t>
  </si>
  <si>
    <t>Principal</t>
  </si>
  <si>
    <t>Ending</t>
  </si>
  <si>
    <t>Total Principal</t>
  </si>
  <si>
    <t>Total Interest</t>
  </si>
  <si>
    <t>End of Year</t>
  </si>
  <si>
    <t>#</t>
  </si>
  <si>
    <t>Payment</t>
  </si>
  <si>
    <t>Paid to Date</t>
  </si>
  <si>
    <t>Totals</t>
  </si>
  <si>
    <t>Body Mass Index &amp; Calorie Calculator</t>
  </si>
  <si>
    <t>NOTE: Not to be used for health or weight purposes</t>
  </si>
  <si>
    <t>Weight (in pounds)</t>
  </si>
  <si>
    <t>Height (in inches)</t>
  </si>
  <si>
    <t>Age (in years)</t>
  </si>
  <si>
    <t>Women</t>
  </si>
  <si>
    <t>Men</t>
  </si>
  <si>
    <t>Conversion Calculator</t>
  </si>
  <si>
    <t>Metric to English</t>
  </si>
  <si>
    <t>English to Metric</t>
  </si>
  <si>
    <t>Millimeters=</t>
  </si>
  <si>
    <t>Inches</t>
  </si>
  <si>
    <t>Inches=</t>
  </si>
  <si>
    <t>Millimeters</t>
  </si>
  <si>
    <t>Centimeters=</t>
  </si>
  <si>
    <t>Centimeters</t>
  </si>
  <si>
    <t>Meters=</t>
  </si>
  <si>
    <t>Feet</t>
  </si>
  <si>
    <t>Feet=</t>
  </si>
  <si>
    <t>Meters</t>
  </si>
  <si>
    <t>Yards</t>
  </si>
  <si>
    <t>Yards=</t>
  </si>
  <si>
    <t>Kilometers=</t>
  </si>
  <si>
    <t>Miles</t>
  </si>
  <si>
    <t>Miles=</t>
  </si>
  <si>
    <t>Kilometers</t>
  </si>
  <si>
    <t>Celsius=</t>
  </si>
  <si>
    <t>Fahrenheit</t>
  </si>
  <si>
    <t>Fahrenheit=</t>
  </si>
  <si>
    <t>Celsius</t>
  </si>
  <si>
    <t>Grams=</t>
  </si>
  <si>
    <t>Ounces</t>
  </si>
  <si>
    <t>Ounces=</t>
  </si>
  <si>
    <t>Grams</t>
  </si>
  <si>
    <t>Kilograms=</t>
  </si>
  <si>
    <t>Pounds</t>
  </si>
  <si>
    <t>Pounds=</t>
  </si>
  <si>
    <t>Kilograms</t>
  </si>
  <si>
    <t>Liters=</t>
  </si>
  <si>
    <t>Quarts</t>
  </si>
  <si>
    <t>Quarts=</t>
  </si>
  <si>
    <t>Liters</t>
  </si>
  <si>
    <t>Gallons</t>
  </si>
  <si>
    <t>Gallons=</t>
  </si>
  <si>
    <t>Radians=</t>
  </si>
  <si>
    <t>Degrees</t>
  </si>
  <si>
    <t>Degrees=</t>
  </si>
  <si>
    <t>Radians</t>
  </si>
  <si>
    <t>Convert</t>
  </si>
  <si>
    <t>From</t>
  </si>
  <si>
    <t>To</t>
  </si>
  <si>
    <t>Right Triangle Solver</t>
  </si>
  <si>
    <t>Enter ONLY TWO known pieces of information</t>
  </si>
  <si>
    <t>a</t>
  </si>
  <si>
    <t>b</t>
  </si>
  <si>
    <t>c</t>
  </si>
  <si>
    <t>Y</t>
  </si>
  <si>
    <t>Z</t>
  </si>
  <si>
    <t>a=</t>
  </si>
  <si>
    <t>b=</t>
  </si>
  <si>
    <t>c=</t>
  </si>
  <si>
    <t>X=</t>
  </si>
  <si>
    <t>Y=</t>
  </si>
  <si>
    <t>Z=</t>
  </si>
  <si>
    <t>Degree Converter</t>
  </si>
  <si>
    <t>Degrees entered as a decimal will be converted to Deg, Min, Sec</t>
  </si>
  <si>
    <t>Minutes</t>
  </si>
  <si>
    <t>Seconds</t>
  </si>
  <si>
    <t xml:space="preserve"> Angle as a decimal</t>
  </si>
  <si>
    <t xml:space="preserve">a  </t>
  </si>
  <si>
    <t xml:space="preserve">NOTE: </t>
  </si>
  <si>
    <t>The Degree Converter above has</t>
  </si>
  <si>
    <t>no influence on the Right Triangle</t>
  </si>
  <si>
    <t xml:space="preserve">Z     </t>
  </si>
  <si>
    <t>calculations.</t>
  </si>
  <si>
    <t>X</t>
  </si>
  <si>
    <t>Tap Drill Size For Inch &amp; Metric 60 Degree Threads</t>
  </si>
  <si>
    <t>Use the chart to the right to obtain the correct diameter for number screws</t>
  </si>
  <si>
    <t>Cold Form</t>
  </si>
  <si>
    <t>Screw</t>
  </si>
  <si>
    <t>INCH</t>
  </si>
  <si>
    <t>Tap Drill Size</t>
  </si>
  <si>
    <t>Number</t>
  </si>
  <si>
    <t>Diameter</t>
  </si>
  <si>
    <t>Screw Diameter</t>
  </si>
  <si>
    <t>inches</t>
  </si>
  <si>
    <t>Threads per inch</t>
  </si>
  <si>
    <t>mm</t>
  </si>
  <si>
    <t>Percent Thread</t>
  </si>
  <si>
    <t>%</t>
  </si>
  <si>
    <t>METRIC</t>
  </si>
  <si>
    <t>Thread Pitch</t>
  </si>
  <si>
    <t>Approximate Threads Per Inch</t>
  </si>
  <si>
    <t>Drill Bit Equivalence</t>
  </si>
  <si>
    <t>Decimal</t>
  </si>
  <si>
    <t>Fraction</t>
  </si>
  <si>
    <t>&amp; Letter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</si>
  <si>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</si>
  <si>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</si>
  <si>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</si>
  <si>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</si>
  <si>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</si>
  <si>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</si>
  <si>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</si>
  <si>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</si>
  <si>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</si>
  <si>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</si>
  <si>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</si>
  <si>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</si>
  <si>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</si>
  <si>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</si>
  <si>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</si>
  <si>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</si>
  <si>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</si>
  <si>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</si>
  <si>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</si>
  <si>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</si>
  <si>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</si>
  <si>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</si>
  <si>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</si>
  <si>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</si>
  <si>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</si>
  <si>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</si>
  <si>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</si>
  <si>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</si>
  <si>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</si>
  <si>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</si>
  <si>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</si>
  <si>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</si>
  <si>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</si>
  <si>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</si>
  <si>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</si>
  <si>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</si>
  <si>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</si>
  <si>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</si>
  <si>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</si>
  <si>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</si>
  <si>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</si>
  <si>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</si>
  <si>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</si>
  <si>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</si>
  <si>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</si>
  <si>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</si>
  <si>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</si>
  <si>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</si>
  <si>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</si>
  <si>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</si>
  <si>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</si>
  <si>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</si>
  <si>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</si>
  <si>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</si>
  <si>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</si>
  <si>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</si>
  <si>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</si>
  <si>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</si>
  <si>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</si>
  <si>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</si>
  <si>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</si>
  <si>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</si>
  <si>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</si>
  <si>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</si>
  <si>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</si>
  <si>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</si>
  <si>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</si>
  <si>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</si>
  <si>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</si>
  <si>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</si>
  <si>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</si>
  <si>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</si>
  <si>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</si>
  <si>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</si>
  <si>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</si>
  <si>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</si>
  <si>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</si>
  <si>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</si>
  <si>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</si>
  <si>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</si>
  <si>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</si>
  <si>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</si>
  <si>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</si>
  <si>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</si>
  <si>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</si>
  <si>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</si>
  <si>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</si>
  <si>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</si>
  <si>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</si>
  <si>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</si>
  <si>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</si>
  <si>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</si>
  <si>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</si>
  <si>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</si>
  <si>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</si>
  <si>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</si>
  <si>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</si>
  <si>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</si>
  <si>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</si>
  <si>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</si>
  <si>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</si>
  <si>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</si>
  <si>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</si>
  <si>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</si>
  <si>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</si>
  <si>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</si>
  <si>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</si>
  <si>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</si>
  <si>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</si>
  <si>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</si>
  <si>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</si>
  <si>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</si>
  <si>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</si>
  <si>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</si>
  <si>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</si>
  <si>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</si>
  <si>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</si>
  <si>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</si>
  <si>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1-33/64</t>
  </si>
  <si>
    <t>A</t>
  </si>
  <si>
    <t>1/64</t>
  </si>
  <si>
    <t>1/32</t>
  </si>
  <si>
    <t>Bolt Circle Calculator</t>
  </si>
  <si>
    <t>Hole #</t>
  </si>
  <si>
    <t xml:space="preserve">X = </t>
  </si>
  <si>
    <t xml:space="preserve">Y = </t>
  </si>
  <si>
    <t>Enter First X &amp; Y as</t>
  </si>
  <si>
    <t>Incremental</t>
  </si>
  <si>
    <t xml:space="preserve">First X = </t>
  </si>
  <si>
    <t xml:space="preserve">First Y = </t>
  </si>
  <si>
    <t xml:space="preserve"># of Holes = </t>
  </si>
  <si>
    <t>Absolute</t>
  </si>
  <si>
    <t>Bolt Circle Center</t>
  </si>
  <si>
    <t>X Center =</t>
  </si>
  <si>
    <t>Y Center =</t>
  </si>
  <si>
    <t>The calculated</t>
  </si>
  <si>
    <t>coordinates are</t>
  </si>
  <si>
    <t>ABSOLUTE.</t>
  </si>
  <si>
    <t xml:space="preserve"> Each hole is apart by:</t>
  </si>
  <si>
    <t>Rotation of an " X &amp; Y " coordinate</t>
  </si>
  <si>
    <t>A negative Angle of Rotation is equal to a counter clockwise rotation</t>
  </si>
  <si>
    <t xml:space="preserve">Original X = </t>
  </si>
  <si>
    <t>Move</t>
  </si>
  <si>
    <t>New X</t>
  </si>
  <si>
    <t>New Y</t>
  </si>
  <si>
    <t xml:space="preserve">Original Y = </t>
  </si>
  <si>
    <t xml:space="preserve">Angle of Rotation (in degrees)  = </t>
  </si>
  <si>
    <t xml:space="preserve">Number of times rotated = </t>
  </si>
  <si>
    <t>15 max.</t>
  </si>
  <si>
    <t xml:space="preserve">Rotating Axis Absolute X Center = </t>
  </si>
  <si>
    <t xml:space="preserve">Rotating Axis Absolute Y Center = </t>
  </si>
  <si>
    <t xml:space="preserve">  -  X  +</t>
  </si>
  <si>
    <t>NOTE:</t>
  </si>
  <si>
    <t>The Original X &amp; Y</t>
  </si>
  <si>
    <t xml:space="preserve">X= -     </t>
  </si>
  <si>
    <t xml:space="preserve">        X= +</t>
  </si>
  <si>
    <t>should be entered</t>
  </si>
  <si>
    <t xml:space="preserve">+ </t>
  </si>
  <si>
    <t xml:space="preserve">Y= +    </t>
  </si>
  <si>
    <t xml:space="preserve">        Y= +</t>
  </si>
  <si>
    <t xml:space="preserve"> +</t>
  </si>
  <si>
    <t>as INCREMENTAL,</t>
  </si>
  <si>
    <t xml:space="preserve">Y </t>
  </si>
  <si>
    <t xml:space="preserve"> Y</t>
  </si>
  <si>
    <t>taken from the</t>
  </si>
  <si>
    <t xml:space="preserve">- </t>
  </si>
  <si>
    <t xml:space="preserve"> -</t>
  </si>
  <si>
    <t>center of the</t>
  </si>
  <si>
    <t xml:space="preserve">Y= -     </t>
  </si>
  <si>
    <t xml:space="preserve">        Y= -</t>
  </si>
  <si>
    <t>rotating axis.</t>
  </si>
  <si>
    <t>The New X &amp; Y will</t>
  </si>
  <si>
    <t>be ABSOLUTE.</t>
  </si>
  <si>
    <t>CONE FABRICATION</t>
  </si>
  <si>
    <t>This will help you to layout a cone on a flat surface.</t>
  </si>
  <si>
    <t>NOTE: This does not allow for material thickness.</t>
  </si>
  <si>
    <t>Inside</t>
  </si>
  <si>
    <t>Outside</t>
  </si>
  <si>
    <t>Segment</t>
  </si>
  <si>
    <t>Cone</t>
  </si>
  <si>
    <t>Radius</t>
  </si>
  <si>
    <t>Angle</t>
  </si>
  <si>
    <t>Width</t>
  </si>
  <si>
    <t>Length</t>
  </si>
  <si>
    <t>Inside Diameter</t>
  </si>
  <si>
    <t>Outside Diameter</t>
  </si>
  <si>
    <t>Cone Angle</t>
  </si>
  <si>
    <t>Cone Length</t>
  </si>
  <si>
    <t>Segment Width</t>
  </si>
  <si>
    <t>Degrees in Cone Segment</t>
  </si>
  <si>
    <t>Overlap in Degrees</t>
  </si>
  <si>
    <t>Circle Segment Calculator</t>
  </si>
  <si>
    <t>Enter TWO knowns</t>
  </si>
  <si>
    <t>h</t>
  </si>
  <si>
    <t>r</t>
  </si>
  <si>
    <t>Angle in degrees</t>
  </si>
  <si>
    <t xml:space="preserve">a= </t>
  </si>
  <si>
    <t>Chord Length</t>
  </si>
  <si>
    <t xml:space="preserve">c= </t>
  </si>
  <si>
    <t>Height</t>
  </si>
  <si>
    <t xml:space="preserve">h= </t>
  </si>
  <si>
    <t xml:space="preserve">r= </t>
  </si>
  <si>
    <t>Polygon Solver</t>
  </si>
  <si>
    <t>Must enter NUMBER OF EQUAL SIDES and one other</t>
  </si>
  <si>
    <t>IC</t>
  </si>
  <si>
    <t>OC</t>
  </si>
  <si>
    <t>Number of Equal Sides</t>
  </si>
  <si>
    <t xml:space="preserve">ES= </t>
  </si>
  <si>
    <t>Inner Circle Diameter</t>
  </si>
  <si>
    <t xml:space="preserve">IC= </t>
  </si>
  <si>
    <t>Outer Circle Diameter</t>
  </si>
  <si>
    <t xml:space="preserve">OC= </t>
  </si>
  <si>
    <t>Although a square is drawn, this will</t>
  </si>
  <si>
    <t>work with 3 equal sides and greater.</t>
  </si>
  <si>
    <t>Values of a Trigonometric Function</t>
  </si>
  <si>
    <t>You can enter DEGREES as a decimal and it will be converted to DEG,MIN,SEC.</t>
  </si>
  <si>
    <t xml:space="preserve">Sine = </t>
  </si>
  <si>
    <t xml:space="preserve">Cosine = </t>
  </si>
  <si>
    <t xml:space="preserve">Tangent = </t>
  </si>
  <si>
    <t>Total</t>
  </si>
  <si>
    <t xml:space="preserve">Cotangent = </t>
  </si>
  <si>
    <t>Sine bar length =</t>
  </si>
  <si>
    <t>millimeters</t>
  </si>
  <si>
    <t xml:space="preserve">Secant = </t>
  </si>
  <si>
    <t>NOTE: Enter the sine bar length above.</t>
  </si>
  <si>
    <t xml:space="preserve">Cosecant = </t>
  </si>
  <si>
    <t>The required height needed under one end</t>
  </si>
  <si>
    <t>of the sine bar to obtain the desired angle.</t>
  </si>
  <si>
    <t xml:space="preserve">Radians = 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</si>
  <si>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</si>
  <si>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</si>
  <si>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</si>
  <si>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</si>
  <si>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</si>
  <si>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</si>
  <si>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</si>
  <si>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</si>
  <si>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</si>
  <si>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</si>
  <si>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</si>
  <si>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</si>
  <si>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</si>
  <si>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</si>
  <si>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</si>
  <si>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</si>
  <si>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</si>
  <si>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</si>
  <si>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</si>
  <si>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</si>
  <si>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</si>
  <si>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</si>
  <si>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</si>
  <si>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</si>
  <si>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</si>
  <si>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</si>
  <si>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</si>
  <si>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</si>
  <si>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</si>
  <si>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</si>
  <si>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</si>
  <si>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</si>
  <si>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</si>
  <si>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</si>
  <si>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</si>
  <si>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</si>
  <si>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</si>
  <si>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</si>
  <si>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</si>
  <si>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</si>
  <si>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</si>
  <si>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</si>
  <si>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</si>
  <si>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</si>
  <si>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</si>
  <si>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</si>
  <si>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</si>
  <si>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</si>
  <si>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</si>
  <si>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</si>
  <si>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</si>
  <si>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</si>
  <si>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</si>
  <si>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</si>
  <si>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</si>
  <si>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</si>
  <si>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</si>
  <si>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</si>
  <si>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</si>
  <si>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</si>
  <si>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</si>
  <si>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</si>
  <si>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</si>
  <si>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</si>
  <si>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</si>
  <si>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</si>
  <si>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</si>
  <si>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</si>
  <si>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</si>
  <si>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</si>
  <si>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</si>
  <si>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</si>
  <si>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</si>
  <si>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</si>
  <si>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</si>
  <si>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</si>
  <si>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</si>
  <si>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</si>
  <si>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</si>
  <si>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</si>
  <si>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</si>
  <si>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</si>
  <si>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</si>
  <si>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</si>
  <si>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</si>
  <si>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</si>
  <si>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</si>
  <si>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</si>
  <si>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</si>
  <si>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</si>
  <si>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</si>
  <si>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</si>
  <si>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</si>
  <si>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</si>
  <si>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</si>
  <si>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</si>
  <si>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</si>
  <si>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</si>
  <si>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</si>
  <si>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</si>
  <si>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</si>
  <si>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</si>
  <si>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</si>
  <si>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</si>
  <si>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</si>
  <si>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</si>
  <si>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</si>
  <si>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</si>
  <si>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</si>
  <si>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</si>
  <si>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</si>
  <si>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</si>
  <si>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</si>
  <si>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</si>
  <si>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</si>
  <si>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</si>
  <si>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</si>
  <si>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</si>
  <si>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</si>
  <si>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</si>
  <si>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</si>
  <si>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</si>
  <si>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</si>
  <si>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</si>
  <si>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</si>
  <si>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</si>
  <si>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</si>
  <si>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</si>
  <si>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</si>
  <si>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</si>
  <si>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</si>
  <si>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</si>
  <si>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</si>
  <si>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</si>
  <si>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</si>
  <si>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</si>
  <si>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</si>
  <si>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</si>
  <si>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</si>
  <si>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</si>
  <si>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</si>
  <si>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</si>
  <si>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</si>
  <si>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</si>
  <si>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</si>
  <si>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</si>
  <si>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</si>
  <si>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</si>
  <si>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</si>
  <si>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</si>
  <si>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</si>
  <si>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</si>
  <si>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</si>
  <si>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</si>
  <si>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</si>
  <si>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</si>
  <si>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</si>
  <si>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</si>
  <si>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</si>
  <si>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</si>
  <si>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</si>
  <si>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</si>
  <si>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</si>
  <si>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</si>
  <si>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</si>
  <si>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</si>
  <si>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</si>
  <si>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</si>
  <si>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</si>
  <si>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</si>
  <si>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</si>
  <si>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</si>
  <si>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</si>
  <si>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</si>
  <si>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</si>
  <si>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</si>
  <si>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</si>
  <si>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</si>
  <si>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</si>
  <si>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</si>
  <si>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</si>
  <si>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</si>
  <si>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</si>
  <si>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</si>
  <si>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</si>
  <si>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</si>
  <si>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</si>
  <si>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</si>
  <si>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</si>
  <si>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</si>
  <si>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</si>
  <si>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</si>
  <si>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</si>
  <si>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</si>
  <si>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</si>
  <si>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</si>
  <si>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</si>
  <si>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</si>
  <si>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</si>
  <si>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</si>
  <si>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</si>
  <si>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</si>
  <si>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</si>
  <si>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</si>
  <si>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</si>
  <si>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</si>
  <si>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</si>
  <si>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</si>
  <si>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</si>
  <si>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</si>
  <si>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</si>
  <si>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</si>
  <si>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</si>
  <si>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</si>
  <si>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</si>
  <si>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</si>
  <si>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</si>
  <si>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</si>
  <si>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</si>
  <si>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</si>
  <si>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</si>
  <si>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</si>
  <si>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</si>
  <si>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</si>
  <si>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</si>
  <si>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</si>
  <si>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</si>
  <si>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</si>
  <si>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</si>
  <si>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</si>
  <si>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</si>
  <si>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</si>
  <si>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</si>
  <si>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</si>
  <si>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</si>
  <si>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</si>
  <si>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</si>
  <si>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</si>
  <si>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</si>
  <si>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</si>
  <si>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</si>
  <si>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</si>
  <si>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</si>
  <si>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</si>
  <si>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</si>
  <si>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</si>
  <si>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</si>
  <si>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</si>
  <si>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</si>
  <si>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</si>
  <si>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</si>
  <si>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</si>
  <si>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</si>
  <si>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</si>
  <si>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</si>
  <si>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</si>
  <si>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</si>
  <si>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</si>
  <si>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</si>
  <si>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</si>
  <si>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</si>
  <si>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</si>
  <si>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</si>
  <si>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</si>
  <si>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</si>
  <si>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</si>
  <si>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</si>
  <si>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</si>
  <si>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</si>
  <si>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</si>
  <si>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</si>
  <si>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</si>
  <si>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</si>
  <si>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</si>
  <si>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</si>
  <si>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</si>
  <si>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</si>
  <si>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</si>
  <si>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</si>
  <si>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</si>
  <si>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</si>
  <si>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</si>
  <si>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</si>
  <si>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</si>
  <si>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</si>
  <si>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</si>
  <si>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</si>
  <si>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</si>
  <si>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</si>
  <si>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</si>
  <si>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</si>
  <si>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</si>
  <si>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</si>
  <si>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</si>
  <si>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</si>
  <si>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</si>
  <si>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</si>
  <si>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</si>
  <si>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</si>
  <si>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</si>
  <si>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</si>
  <si>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</si>
  <si>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</si>
  <si>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</si>
  <si>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</si>
  <si>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</si>
  <si>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</si>
  <si>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</si>
  <si>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</si>
  <si>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</si>
  <si>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</si>
  <si>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</si>
  <si>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</si>
  <si>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</si>
  <si>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</si>
  <si>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</si>
  <si>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</si>
  <si>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</si>
  <si>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</si>
  <si>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</si>
  <si>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</si>
  <si>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</si>
  <si>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</si>
  <si>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</si>
  <si>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</si>
  <si>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</si>
  <si>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</si>
  <si>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</si>
  <si>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</si>
  <si>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</si>
  <si>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</si>
  <si>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</si>
  <si>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</si>
  <si>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</si>
  <si>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</si>
  <si>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</si>
  <si>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</si>
  <si>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</si>
  <si>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</si>
  <si>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</si>
  <si>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</si>
  <si>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</si>
  <si>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</si>
  <si>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</si>
  <si>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</si>
  <si>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</si>
  <si>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</si>
  <si>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</si>
  <si>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</si>
  <si>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</si>
  <si>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</si>
  <si>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</si>
  <si>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</si>
  <si>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</si>
  <si>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</si>
  <si>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</si>
  <si>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</si>
  <si>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</si>
  <si>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</si>
  <si>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</si>
  <si>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</si>
  <si>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</si>
  <si>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</si>
  <si>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</si>
  <si>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</si>
  <si>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</si>
  <si>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</si>
  <si>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</si>
  <si>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</si>
  <si>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</si>
  <si>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</si>
  <si>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</si>
  <si>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</si>
  <si>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</si>
  <si>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</si>
  <si>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</si>
  <si>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</si>
  <si>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</si>
  <si>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</si>
  <si>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</si>
  <si>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</si>
  <si>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</si>
  <si>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</si>
  <si>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</si>
  <si>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</si>
  <si>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</si>
  <si>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</si>
  <si>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</si>
  <si>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</si>
  <si>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</si>
  <si>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</si>
  <si>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</si>
  <si>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</si>
  <si>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</si>
  <si>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</si>
  <si>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</si>
  <si>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</si>
  <si>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</si>
  <si>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</si>
  <si>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</si>
  <si>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</si>
  <si>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</si>
  <si>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</si>
  <si>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</si>
  <si>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</si>
  <si>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</si>
  <si>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</si>
  <si>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</si>
  <si>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</si>
  <si>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</si>
  <si>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</si>
  <si>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</si>
  <si>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</si>
  <si>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</si>
  <si>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</si>
  <si>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</si>
  <si>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</si>
  <si>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</si>
  <si>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</si>
  <si>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</si>
  <si>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</si>
  <si>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</si>
  <si>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</si>
  <si>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</si>
  <si>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</si>
  <si>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</si>
  <si>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</si>
  <si>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</si>
  <si>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</si>
  <si>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</si>
  <si>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</si>
  <si>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</si>
  <si>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</si>
  <si>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</si>
  <si>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</si>
  <si>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</si>
  <si>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</si>
  <si>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</si>
  <si>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</si>
  <si>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</si>
  <si>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</si>
  <si>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</si>
  <si>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</si>
  <si>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</si>
  <si>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</si>
  <si>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</si>
  <si>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</si>
  <si>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</si>
  <si>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</si>
  <si>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</si>
  <si>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</si>
  <si>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</si>
  <si>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</si>
  <si>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</si>
  <si>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</si>
  <si>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</si>
  <si>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</si>
  <si>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</si>
  <si>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</si>
  <si>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</si>
  <si>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</si>
  <si>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</si>
  <si>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</si>
  <si>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</si>
  <si>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</si>
  <si>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</si>
  <si>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</si>
  <si>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</si>
  <si>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</si>
  <si>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</si>
  <si>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</si>
  <si>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</si>
  <si>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</si>
  <si>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</si>
  <si>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</si>
  <si>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</si>
  <si>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</si>
  <si>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</si>
  <si>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</si>
  <si>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</si>
  <si>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</si>
  <si>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</si>
  <si>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</si>
  <si>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</si>
  <si>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</si>
  <si>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</si>
  <si>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</si>
  <si>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</si>
  <si>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</si>
  <si>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</si>
  <si>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</si>
  <si>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</si>
  <si>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</si>
  <si>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</si>
  <si>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</si>
  <si>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</si>
  <si>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Note:</t>
  </si>
  <si>
    <t>This will not work</t>
  </si>
  <si>
    <t>with Pipe Taps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</si>
  <si>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</si>
  <si>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</si>
  <si>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</si>
  <si>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</si>
  <si>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</si>
  <si>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</si>
  <si>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</si>
  <si>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</si>
  <si>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Rounded</t>
  </si>
  <si>
    <t>Precision =</t>
  </si>
  <si>
    <t>from Bolt CircleCenter</t>
  </si>
  <si>
    <r>
      <t xml:space="preserve">or </t>
    </r>
    <r>
      <rPr>
        <b/>
        <u val="single"/>
        <sz val="12"/>
        <rFont val="Arial"/>
        <family val="2"/>
      </rPr>
      <t>Absolute</t>
    </r>
  </si>
  <si>
    <t>Spiral Offset</t>
  </si>
  <si>
    <t>Number of</t>
  </si>
  <si>
    <t>Revolutions</t>
  </si>
  <si>
    <t>Spiral Calculator</t>
  </si>
  <si>
    <t xml:space="preserve">Degrees = </t>
  </si>
  <si>
    <t>Per Rev =</t>
  </si>
  <si>
    <t>Per Hole =</t>
  </si>
  <si>
    <t>Enter First X &amp; Y</t>
  </si>
  <si>
    <t>Coordinates</t>
  </si>
  <si>
    <t>Seperation Per Hole</t>
  </si>
  <si>
    <t>Revolutions =</t>
  </si>
  <si>
    <t>X= +</t>
  </si>
  <si>
    <t>Y= +</t>
  </si>
  <si>
    <t>Y= -</t>
  </si>
  <si>
    <t>Rotation</t>
  </si>
  <si>
    <t>Spiral</t>
  </si>
  <si>
    <t>Name</t>
  </si>
  <si>
    <t>Systolic</t>
  </si>
  <si>
    <t>= maximum pressure in blood vessels when heart beats.</t>
  </si>
  <si>
    <t>over</t>
  </si>
  <si>
    <t>Blood Pressure</t>
  </si>
  <si>
    <t>Diastolic</t>
  </si>
  <si>
    <t>= minimum pressure in blood vessels between beats.</t>
  </si>
  <si>
    <t>Date</t>
  </si>
  <si>
    <t>Time</t>
  </si>
  <si>
    <t>Pulse</t>
  </si>
  <si>
    <t>Min</t>
  </si>
  <si>
    <t>Max</t>
  </si>
  <si>
    <t>Normal</t>
  </si>
  <si>
    <t>139 or less</t>
  </si>
  <si>
    <t>89 or less</t>
  </si>
  <si>
    <t>Range</t>
  </si>
  <si>
    <t>Borderline</t>
  </si>
  <si>
    <t>140 to 159</t>
  </si>
  <si>
    <t>90 to 94</t>
  </si>
  <si>
    <t>Pressure</t>
  </si>
  <si>
    <t>Average</t>
  </si>
  <si>
    <t>High</t>
  </si>
  <si>
    <t>160 or more</t>
  </si>
  <si>
    <t>95 or more</t>
  </si>
  <si>
    <t>Std. Deviation</t>
  </si>
  <si>
    <t>Pulse Pressure = Systolic BP (Avg.) - Diastolic BP (Avg.)</t>
  </si>
  <si>
    <t>Avg. Pulse</t>
  </si>
</sst>
</file>

<file path=xl/styles.xml><?xml version="1.0" encoding="utf-8"?>
<styleSheet xmlns="http://schemas.openxmlformats.org/spreadsheetml/2006/main">
  <numFmts count="41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_)"/>
    <numFmt numFmtId="179" formatCode="0.00_)"/>
    <numFmt numFmtId="180" formatCode="General_)"/>
    <numFmt numFmtId="181" formatCode="0.0_)"/>
    <numFmt numFmtId="182" formatCode="0.00000000_)"/>
    <numFmt numFmtId="183" formatCode="&quot;$&quot;#,##0.00_);[Red]&quot;$&quot;#,##0.00"/>
    <numFmt numFmtId="184" formatCode="&quot;$&quot;#,##0.00_);&quot;$&quot;#,##0.00"/>
    <numFmt numFmtId="185" formatCode="&quot;$&quot;#,##0.0000_);\(&quot;$&quot;#,##0.0000\)"/>
    <numFmt numFmtId="186" formatCode="m"/>
    <numFmt numFmtId="187" formatCode="0.000"/>
    <numFmt numFmtId="188" formatCode="0._)"/>
    <numFmt numFmtId="189" formatCode="0.0000"/>
    <numFmt numFmtId="190" formatCode=".0000_)"/>
    <numFmt numFmtId="191" formatCode="00"/>
    <numFmt numFmtId="192" formatCode="000"/>
    <numFmt numFmtId="193" formatCode=".000_)"/>
    <numFmt numFmtId="194" formatCode=".0000"/>
    <numFmt numFmtId="195" formatCode="0.0"/>
    <numFmt numFmtId="196" formatCode="mm/dd/yy"/>
  </numFmts>
  <fonts count="5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sz val="12"/>
      <color indexed="10"/>
      <name val="Arial"/>
      <family val="0"/>
    </font>
    <font>
      <b/>
      <u val="single"/>
      <sz val="12"/>
      <name val="Arial"/>
      <family val="0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20"/>
      <name val="Arial"/>
      <family val="0"/>
    </font>
    <font>
      <u val="single"/>
      <sz val="11"/>
      <color indexed="10"/>
      <name val="Arial"/>
      <family val="2"/>
    </font>
    <font>
      <sz val="10"/>
      <color indexed="12"/>
      <name val="Arial"/>
      <family val="2"/>
    </font>
    <font>
      <u val="single"/>
      <sz val="12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2"/>
      <color indexed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6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u val="single"/>
      <sz val="16"/>
      <name val="Tahoma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8.05"/>
      <color indexed="8"/>
      <name val="Arial"/>
      <family val="0"/>
    </font>
    <font>
      <sz val="12"/>
      <color indexed="8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lightTrellis"/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38" fillId="15" borderId="0" applyNumberFormat="0" applyBorder="0" applyAlignment="0" applyProtection="0"/>
    <xf numFmtId="0" fontId="42" fillId="16" borderId="1" applyNumberFormat="0" applyAlignment="0" applyProtection="0"/>
    <xf numFmtId="0" fontId="44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1" fillId="16" borderId="8" applyNumberFormat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179" fontId="0" fillId="0" borderId="0" xfId="0" applyNumberFormat="1" applyAlignment="1" applyProtection="1">
      <alignment/>
      <protection/>
    </xf>
    <xf numFmtId="178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0" fillId="4" borderId="11" xfId="0" applyFill="1" applyBorder="1" applyAlignment="1">
      <alignment horizontal="centerContinuous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/>
    </xf>
    <xf numFmtId="0" fontId="6" fillId="4" borderId="12" xfId="0" applyFont="1" applyFill="1" applyBorder="1" applyAlignment="1">
      <alignment horizontal="centerContinuous"/>
    </xf>
    <xf numFmtId="0" fontId="0" fillId="4" borderId="13" xfId="0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7" fillId="4" borderId="15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0" fillId="4" borderId="16" xfId="0" applyFill="1" applyBorder="1" applyAlignment="1">
      <alignment horizontal="centerContinuous"/>
    </xf>
    <xf numFmtId="0" fontId="5" fillId="0" borderId="17" xfId="0" applyFont="1" applyFill="1" applyBorder="1" applyAlignment="1" applyProtection="1">
      <alignment/>
      <protection locked="0"/>
    </xf>
    <xf numFmtId="0" fontId="0" fillId="4" borderId="0" xfId="0" applyFill="1" applyBorder="1" applyAlignment="1">
      <alignment horizontal="left"/>
    </xf>
    <xf numFmtId="0" fontId="9" fillId="4" borderId="0" xfId="0" applyFont="1" applyFill="1" applyBorder="1" applyAlignment="1">
      <alignment/>
    </xf>
    <xf numFmtId="0" fontId="0" fillId="4" borderId="16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0" fontId="0" fillId="4" borderId="21" xfId="0" applyFill="1" applyBorder="1" applyAlignment="1">
      <alignment/>
    </xf>
    <xf numFmtId="0" fontId="6" fillId="4" borderId="13" xfId="0" applyFont="1" applyFill="1" applyBorder="1" applyAlignment="1">
      <alignment horizontal="centerContinuous"/>
    </xf>
    <xf numFmtId="0" fontId="6" fillId="4" borderId="14" xfId="0" applyFont="1" applyFill="1" applyBorder="1" applyAlignment="1">
      <alignment horizontal="centerContinuous"/>
    </xf>
    <xf numFmtId="0" fontId="8" fillId="4" borderId="15" xfId="0" applyFont="1" applyFill="1" applyBorder="1" applyAlignment="1">
      <alignment horizontal="centerContinuous"/>
    </xf>
    <xf numFmtId="166" fontId="0" fillId="4" borderId="0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/>
    </xf>
    <xf numFmtId="0" fontId="0" fillId="4" borderId="18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6" xfId="0" applyFill="1" applyBorder="1" applyAlignment="1">
      <alignment/>
    </xf>
    <xf numFmtId="0" fontId="0" fillId="4" borderId="12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0" fontId="0" fillId="4" borderId="10" xfId="0" applyFill="1" applyBorder="1" applyAlignment="1">
      <alignment horizontal="centerContinuous"/>
    </xf>
    <xf numFmtId="0" fontId="0" fillId="4" borderId="1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23" xfId="0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166" fontId="7" fillId="4" borderId="0" xfId="0" applyNumberFormat="1" applyFont="1" applyFill="1" applyBorder="1" applyAlignment="1" applyProtection="1">
      <alignment/>
      <protection/>
    </xf>
    <xf numFmtId="0" fontId="0" fillId="4" borderId="18" xfId="0" applyFill="1" applyBorder="1" applyAlignment="1">
      <alignment horizontal="center"/>
    </xf>
    <xf numFmtId="166" fontId="0" fillId="4" borderId="19" xfId="0" applyNumberFormat="1" applyFill="1" applyBorder="1" applyAlignment="1" applyProtection="1">
      <alignment/>
      <protection/>
    </xf>
    <xf numFmtId="166" fontId="5" fillId="0" borderId="10" xfId="0" applyNumberFormat="1" applyFont="1" applyFill="1" applyBorder="1" applyAlignment="1" applyProtection="1">
      <alignment/>
      <protection locked="0"/>
    </xf>
    <xf numFmtId="166" fontId="5" fillId="0" borderId="24" xfId="0" applyNumberFormat="1" applyFont="1" applyFill="1" applyBorder="1" applyAlignment="1" applyProtection="1">
      <alignment/>
      <protection locked="0"/>
    </xf>
    <xf numFmtId="0" fontId="0" fillId="7" borderId="0" xfId="0" applyFill="1" applyBorder="1" applyAlignment="1">
      <alignment horizontal="right"/>
    </xf>
    <xf numFmtId="166" fontId="0" fillId="7" borderId="16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 horizontal="centerContinuous"/>
    </xf>
    <xf numFmtId="0" fontId="0" fillId="4" borderId="0" xfId="0" applyFill="1" applyBorder="1" applyAlignment="1">
      <alignment horizontal="center"/>
    </xf>
    <xf numFmtId="178" fontId="0" fillId="4" borderId="0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 horizontal="right"/>
    </xf>
    <xf numFmtId="180" fontId="0" fillId="4" borderId="15" xfId="0" applyNumberFormat="1" applyFill="1" applyBorder="1" applyAlignment="1" applyProtection="1">
      <alignment/>
      <protection/>
    </xf>
    <xf numFmtId="0" fontId="0" fillId="4" borderId="19" xfId="0" applyFill="1" applyBorder="1" applyAlignment="1">
      <alignment horizontal="right"/>
    </xf>
    <xf numFmtId="0" fontId="0" fillId="4" borderId="0" xfId="0" applyFill="1" applyBorder="1" applyAlignment="1">
      <alignment horizontal="center" vertical="top"/>
    </xf>
    <xf numFmtId="0" fontId="0" fillId="4" borderId="14" xfId="0" applyFill="1" applyBorder="1" applyAlignment="1">
      <alignment/>
    </xf>
    <xf numFmtId="0" fontId="8" fillId="4" borderId="0" xfId="0" applyFont="1" applyFill="1" applyBorder="1" applyAlignment="1">
      <alignment horizontal="centerContinuous"/>
    </xf>
    <xf numFmtId="0" fontId="6" fillId="4" borderId="25" xfId="0" applyFont="1" applyFill="1" applyBorder="1" applyAlignment="1">
      <alignment horizontal="centerContinuous"/>
    </xf>
    <xf numFmtId="0" fontId="0" fillId="4" borderId="26" xfId="0" applyFill="1" applyBorder="1" applyAlignment="1">
      <alignment horizontal="centerContinuous"/>
    </xf>
    <xf numFmtId="0" fontId="0" fillId="4" borderId="27" xfId="0" applyFill="1" applyBorder="1" applyAlignment="1">
      <alignment horizontal="centerContinuous"/>
    </xf>
    <xf numFmtId="0" fontId="0" fillId="4" borderId="28" xfId="0" applyFill="1" applyBorder="1" applyAlignment="1">
      <alignment horizontal="centerContinuous"/>
    </xf>
    <xf numFmtId="0" fontId="0" fillId="4" borderId="29" xfId="0" applyFill="1" applyBorder="1" applyAlignment="1">
      <alignment horizontal="centerContinuous"/>
    </xf>
    <xf numFmtId="0" fontId="0" fillId="4" borderId="28" xfId="0" applyFill="1" applyBorder="1" applyAlignment="1">
      <alignment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/>
    </xf>
    <xf numFmtId="0" fontId="0" fillId="4" borderId="28" xfId="0" applyFill="1" applyBorder="1" applyAlignment="1">
      <alignment horizontal="right"/>
    </xf>
    <xf numFmtId="0" fontId="0" fillId="4" borderId="30" xfId="0" applyFill="1" applyBorder="1" applyAlignment="1">
      <alignment horizontal="right"/>
    </xf>
    <xf numFmtId="0" fontId="0" fillId="4" borderId="31" xfId="0" applyFill="1" applyBorder="1" applyAlignment="1">
      <alignment/>
    </xf>
    <xf numFmtId="0" fontId="0" fillId="4" borderId="31" xfId="0" applyFill="1" applyBorder="1" applyAlignment="1">
      <alignment horizontal="left"/>
    </xf>
    <xf numFmtId="0" fontId="0" fillId="4" borderId="32" xfId="0" applyFill="1" applyBorder="1" applyAlignment="1">
      <alignment/>
    </xf>
    <xf numFmtId="0" fontId="6" fillId="4" borderId="26" xfId="0" applyFont="1" applyFill="1" applyBorder="1" applyAlignment="1">
      <alignment horizontal="centerContinuous"/>
    </xf>
    <xf numFmtId="0" fontId="6" fillId="4" borderId="27" xfId="0" applyFont="1" applyFill="1" applyBorder="1" applyAlignment="1">
      <alignment horizontal="centerContinuous"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180" fontId="0" fillId="4" borderId="33" xfId="0" applyNumberFormat="1" applyFill="1" applyBorder="1" applyAlignment="1" applyProtection="1">
      <alignment/>
      <protection/>
    </xf>
    <xf numFmtId="166" fontId="5" fillId="0" borderId="34" xfId="0" applyNumberFormat="1" applyFont="1" applyFill="1" applyBorder="1" applyAlignment="1" applyProtection="1">
      <alignment/>
      <protection locked="0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11" fillId="4" borderId="15" xfId="0" applyFont="1" applyFill="1" applyBorder="1" applyAlignment="1">
      <alignment horizontal="centerContinuous"/>
    </xf>
    <xf numFmtId="178" fontId="0" fillId="4" borderId="0" xfId="0" applyNumberFormat="1" applyFill="1" applyBorder="1" applyAlignment="1" applyProtection="1">
      <alignment horizontal="center"/>
      <protection/>
    </xf>
    <xf numFmtId="0" fontId="4" fillId="0" borderId="0" xfId="58">
      <alignment/>
      <protection/>
    </xf>
    <xf numFmtId="0" fontId="4" fillId="0" borderId="0" xfId="58" applyAlignment="1">
      <alignment horizontal="right"/>
      <protection/>
    </xf>
    <xf numFmtId="0" fontId="4" fillId="0" borderId="0" xfId="58" applyProtection="1">
      <alignment/>
      <protection locked="0"/>
    </xf>
    <xf numFmtId="0" fontId="4" fillId="0" borderId="0" xfId="58" applyProtection="1">
      <alignment/>
      <protection/>
    </xf>
    <xf numFmtId="0" fontId="4" fillId="4" borderId="0" xfId="58" applyFill="1">
      <alignment/>
      <protection/>
    </xf>
    <xf numFmtId="0" fontId="4" fillId="4" borderId="0" xfId="58" applyFill="1" applyAlignment="1">
      <alignment horizontal="right"/>
      <protection/>
    </xf>
    <xf numFmtId="0" fontId="4" fillId="4" borderId="0" xfId="58" applyFill="1" applyProtection="1">
      <alignment/>
      <protection/>
    </xf>
    <xf numFmtId="0" fontId="4" fillId="4" borderId="0" xfId="58" applyFill="1" applyAlignment="1">
      <alignment horizontal="center"/>
      <protection/>
    </xf>
    <xf numFmtId="0" fontId="4" fillId="4" borderId="15" xfId="58" applyFill="1" applyBorder="1">
      <alignment/>
      <protection/>
    </xf>
    <xf numFmtId="0" fontId="4" fillId="4" borderId="15" xfId="58" applyFill="1" applyBorder="1" applyProtection="1">
      <alignment/>
      <protection/>
    </xf>
    <xf numFmtId="0" fontId="4" fillId="4" borderId="16" xfId="58" applyFill="1" applyBorder="1">
      <alignment/>
      <protection/>
    </xf>
    <xf numFmtId="178" fontId="13" fillId="4" borderId="26" xfId="0" applyNumberFormat="1" applyFont="1" applyFill="1" applyBorder="1" applyAlignment="1" applyProtection="1">
      <alignment horizontal="centerContinuous"/>
      <protection/>
    </xf>
    <xf numFmtId="178" fontId="13" fillId="4" borderId="25" xfId="0" applyNumberFormat="1" applyFont="1" applyFill="1" applyBorder="1" applyAlignment="1" applyProtection="1">
      <alignment horizontal="centerContinuous"/>
      <protection/>
    </xf>
    <xf numFmtId="178" fontId="0" fillId="4" borderId="28" xfId="0" applyNumberFormat="1" applyFill="1" applyBorder="1" applyAlignment="1" applyProtection="1">
      <alignment/>
      <protection/>
    </xf>
    <xf numFmtId="178" fontId="13" fillId="4" borderId="27" xfId="0" applyNumberFormat="1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4" borderId="28" xfId="0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28" xfId="0" applyFill="1" applyBorder="1" applyAlignment="1" applyProtection="1">
      <alignment horizontal="left"/>
      <protection/>
    </xf>
    <xf numFmtId="0" fontId="0" fillId="4" borderId="28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 horizontal="centerContinuous"/>
      <protection/>
    </xf>
    <xf numFmtId="0" fontId="0" fillId="4" borderId="30" xfId="0" applyFill="1" applyBorder="1" applyAlignment="1" applyProtection="1">
      <alignment horizontal="right"/>
      <protection/>
    </xf>
    <xf numFmtId="0" fontId="0" fillId="4" borderId="31" xfId="0" applyFill="1" applyBorder="1" applyAlignment="1" applyProtection="1">
      <alignment horizontal="right"/>
      <protection/>
    </xf>
    <xf numFmtId="178" fontId="0" fillId="4" borderId="0" xfId="0" applyNumberFormat="1" applyFill="1" applyBorder="1" applyAlignment="1" applyProtection="1">
      <alignment horizontal="centerContinuous"/>
      <protection/>
    </xf>
    <xf numFmtId="178" fontId="0" fillId="4" borderId="28" xfId="0" applyNumberFormat="1" applyFill="1" applyBorder="1" applyAlignment="1" applyProtection="1">
      <alignment horizontal="right"/>
      <protection/>
    </xf>
    <xf numFmtId="178" fontId="7" fillId="4" borderId="28" xfId="0" applyNumberFormat="1" applyFont="1" applyFill="1" applyBorder="1" applyAlignment="1" applyProtection="1">
      <alignment horizontal="centerContinuous"/>
      <protection/>
    </xf>
    <xf numFmtId="178" fontId="11" fillId="7" borderId="37" xfId="0" applyNumberFormat="1" applyFont="1" applyFill="1" applyBorder="1" applyAlignment="1" applyProtection="1">
      <alignment horizontal="centerContinuous"/>
      <protection/>
    </xf>
    <xf numFmtId="178" fontId="9" fillId="7" borderId="38" xfId="0" applyNumberFormat="1" applyFont="1" applyFill="1" applyBorder="1" applyAlignment="1" applyProtection="1">
      <alignment horizontal="centerContinuous"/>
      <protection/>
    </xf>
    <xf numFmtId="0" fontId="9" fillId="7" borderId="38" xfId="0" applyFont="1" applyFill="1" applyBorder="1" applyAlignment="1">
      <alignment horizontal="centerContinuous"/>
    </xf>
    <xf numFmtId="0" fontId="9" fillId="7" borderId="39" xfId="0" applyFont="1" applyFill="1" applyBorder="1" applyAlignment="1">
      <alignment horizontal="centerContinuous"/>
    </xf>
    <xf numFmtId="178" fontId="9" fillId="7" borderId="0" xfId="0" applyNumberFormat="1" applyFont="1" applyFill="1" applyBorder="1" applyAlignment="1" applyProtection="1">
      <alignment horizontal="centerContinuous"/>
      <protection/>
    </xf>
    <xf numFmtId="0" fontId="9" fillId="7" borderId="0" xfId="0" applyFont="1" applyFill="1" applyBorder="1" applyAlignment="1">
      <alignment horizontal="centerContinuous"/>
    </xf>
    <xf numFmtId="0" fontId="9" fillId="7" borderId="29" xfId="0" applyFont="1" applyFill="1" applyBorder="1" applyAlignment="1">
      <alignment horizontal="centerContinuous"/>
    </xf>
    <xf numFmtId="180" fontId="9" fillId="7" borderId="40" xfId="0" applyNumberFormat="1" applyFont="1" applyFill="1" applyBorder="1" applyAlignment="1" applyProtection="1">
      <alignment/>
      <protection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/>
    </xf>
    <xf numFmtId="0" fontId="9" fillId="7" borderId="29" xfId="0" applyFont="1" applyFill="1" applyBorder="1" applyAlignment="1">
      <alignment horizontal="left"/>
    </xf>
    <xf numFmtId="180" fontId="9" fillId="7" borderId="41" xfId="0" applyNumberFormat="1" applyFont="1" applyFill="1" applyBorder="1" applyAlignment="1" applyProtection="1">
      <alignment/>
      <protection/>
    </xf>
    <xf numFmtId="180" fontId="9" fillId="7" borderId="42" xfId="0" applyNumberFormat="1" applyFont="1" applyFill="1" applyBorder="1" applyAlignment="1" applyProtection="1">
      <alignment/>
      <protection/>
    </xf>
    <xf numFmtId="0" fontId="9" fillId="7" borderId="43" xfId="0" applyFont="1" applyFill="1" applyBorder="1" applyAlignment="1">
      <alignment horizontal="left"/>
    </xf>
    <xf numFmtId="0" fontId="9" fillId="7" borderId="43" xfId="0" applyFont="1" applyFill="1" applyBorder="1" applyAlignment="1">
      <alignment/>
    </xf>
    <xf numFmtId="0" fontId="9" fillId="7" borderId="44" xfId="0" applyFont="1" applyFill="1" applyBorder="1" applyAlignment="1">
      <alignment/>
    </xf>
    <xf numFmtId="178" fontId="10" fillId="4" borderId="28" xfId="0" applyNumberFormat="1" applyFont="1" applyFill="1" applyBorder="1" applyAlignment="1" applyProtection="1">
      <alignment horizontal="centerContinuous"/>
      <protection/>
    </xf>
    <xf numFmtId="178" fontId="7" fillId="4" borderId="0" xfId="0" applyNumberFormat="1" applyFont="1" applyFill="1" applyBorder="1" applyAlignment="1" applyProtection="1">
      <alignment horizontal="centerContinuous"/>
      <protection/>
    </xf>
    <xf numFmtId="178" fontId="7" fillId="4" borderId="28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>
      <alignment horizontal="right"/>
    </xf>
    <xf numFmtId="178" fontId="8" fillId="4" borderId="0" xfId="0" applyNumberFormat="1" applyFont="1" applyFill="1" applyBorder="1" applyAlignment="1" applyProtection="1">
      <alignment vertical="top"/>
      <protection/>
    </xf>
    <xf numFmtId="178" fontId="8" fillId="4" borderId="0" xfId="0" applyNumberFormat="1" applyFont="1" applyFill="1" applyBorder="1" applyAlignment="1" applyProtection="1">
      <alignment horizontal="center" vertical="top"/>
      <protection/>
    </xf>
    <xf numFmtId="178" fontId="8" fillId="4" borderId="0" xfId="0" applyNumberFormat="1" applyFont="1" applyFill="1" applyBorder="1" applyAlignment="1" applyProtection="1">
      <alignment horizontal="left" vertical="top"/>
      <protection/>
    </xf>
    <xf numFmtId="178" fontId="8" fillId="4" borderId="29" xfId="0" applyNumberFormat="1" applyFont="1" applyFill="1" applyBorder="1" applyAlignment="1" applyProtection="1">
      <alignment horizontal="left" vertical="top"/>
      <protection/>
    </xf>
    <xf numFmtId="178" fontId="14" fillId="7" borderId="40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 applyProtection="1">
      <alignment horizontal="right"/>
      <protection/>
    </xf>
    <xf numFmtId="182" fontId="0" fillId="4" borderId="16" xfId="0" applyNumberFormat="1" applyFill="1" applyBorder="1" applyAlignment="1" applyProtection="1">
      <alignment horizontal="left"/>
      <protection/>
    </xf>
    <xf numFmtId="0" fontId="0" fillId="4" borderId="21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5" fillId="0" borderId="10" xfId="0" applyFont="1" applyFill="1" applyBorder="1" applyAlignment="1" applyProtection="1">
      <alignment horizontal="left"/>
      <protection locked="0"/>
    </xf>
    <xf numFmtId="1" fontId="0" fillId="4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0" fillId="4" borderId="19" xfId="0" applyNumberFormat="1" applyFill="1" applyBorder="1" applyAlignment="1">
      <alignment horizontal="right"/>
    </xf>
    <xf numFmtId="1" fontId="0" fillId="4" borderId="0" xfId="0" applyNumberFormat="1" applyFill="1" applyBorder="1" applyAlignment="1">
      <alignment horizontal="right"/>
    </xf>
    <xf numFmtId="0" fontId="9" fillId="4" borderId="15" xfId="0" applyFont="1" applyFill="1" applyBorder="1" applyAlignment="1">
      <alignment/>
    </xf>
    <xf numFmtId="0" fontId="4" fillId="4" borderId="0" xfId="58" applyFont="1" applyFill="1">
      <alignment/>
      <protection/>
    </xf>
    <xf numFmtId="0" fontId="4" fillId="4" borderId="0" xfId="58" applyFont="1" applyFill="1" applyAlignment="1">
      <alignment horizontal="center"/>
      <protection/>
    </xf>
    <xf numFmtId="2" fontId="0" fillId="4" borderId="0" xfId="0" applyNumberFormat="1" applyFill="1" applyBorder="1" applyAlignment="1" applyProtection="1">
      <alignment/>
      <protection/>
    </xf>
    <xf numFmtId="2" fontId="9" fillId="7" borderId="0" xfId="0" applyNumberFormat="1" applyFont="1" applyFill="1" applyBorder="1" applyAlignment="1" applyProtection="1">
      <alignment/>
      <protection/>
    </xf>
    <xf numFmtId="0" fontId="15" fillId="0" borderId="45" xfId="58" applyFont="1" applyFill="1" applyBorder="1" applyProtection="1">
      <alignment/>
      <protection locked="0"/>
    </xf>
    <xf numFmtId="0" fontId="5" fillId="0" borderId="46" xfId="0" applyNumberFormat="1" applyFont="1" applyFill="1" applyBorder="1" applyAlignment="1" applyProtection="1">
      <alignment/>
      <protection locked="0"/>
    </xf>
    <xf numFmtId="0" fontId="8" fillId="4" borderId="0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/>
    </xf>
    <xf numFmtId="178" fontId="0" fillId="4" borderId="16" xfId="0" applyNumberFormat="1" applyFill="1" applyBorder="1" applyAlignment="1" applyProtection="1">
      <alignment horizontal="center"/>
      <protection/>
    </xf>
    <xf numFmtId="0" fontId="16" fillId="4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left"/>
    </xf>
    <xf numFmtId="178" fontId="17" fillId="0" borderId="10" xfId="0" applyNumberFormat="1" applyFont="1" applyFill="1" applyBorder="1" applyAlignment="1" applyProtection="1">
      <alignment horizontal="center"/>
      <protection locked="0"/>
    </xf>
    <xf numFmtId="1" fontId="17" fillId="0" borderId="10" xfId="0" applyNumberFormat="1" applyFont="1" applyFill="1" applyBorder="1" applyAlignment="1" applyProtection="1">
      <alignment horizontal="center"/>
      <protection locked="0"/>
    </xf>
    <xf numFmtId="0" fontId="18" fillId="4" borderId="47" xfId="0" applyFont="1" applyFill="1" applyBorder="1" applyAlignment="1" applyProtection="1">
      <alignment horizontal="center"/>
      <protection/>
    </xf>
    <xf numFmtId="178" fontId="18" fillId="4" borderId="0" xfId="0" applyNumberFormat="1" applyFont="1" applyFill="1" applyBorder="1" applyAlignment="1" applyProtection="1">
      <alignment vertical="top"/>
      <protection/>
    </xf>
    <xf numFmtId="1" fontId="18" fillId="4" borderId="0" xfId="0" applyNumberFormat="1" applyFont="1" applyFill="1" applyBorder="1" applyAlignment="1" applyProtection="1">
      <alignment horizontal="left" vertical="top"/>
      <protection/>
    </xf>
    <xf numFmtId="178" fontId="18" fillId="4" borderId="0" xfId="0" applyNumberFormat="1" applyFont="1" applyFill="1" applyBorder="1" applyAlignment="1" applyProtection="1">
      <alignment/>
      <protection/>
    </xf>
    <xf numFmtId="0" fontId="18" fillId="4" borderId="29" xfId="0" applyFont="1" applyFill="1" applyBorder="1" applyAlignment="1" applyProtection="1">
      <alignment horizontal="left"/>
      <protection/>
    </xf>
    <xf numFmtId="0" fontId="18" fillId="4" borderId="0" xfId="0" applyFont="1" applyFill="1" applyBorder="1" applyAlignment="1" applyProtection="1">
      <alignment horizontal="left"/>
      <protection/>
    </xf>
    <xf numFmtId="0" fontId="18" fillId="4" borderId="48" xfId="0" applyFont="1" applyFill="1" applyBorder="1" applyAlignment="1" applyProtection="1">
      <alignment horizontal="center"/>
      <protection/>
    </xf>
    <xf numFmtId="178" fontId="18" fillId="4" borderId="31" xfId="0" applyNumberFormat="1" applyFont="1" applyFill="1" applyBorder="1" applyAlignment="1" applyProtection="1">
      <alignment/>
      <protection/>
    </xf>
    <xf numFmtId="0" fontId="18" fillId="4" borderId="31" xfId="0" applyFont="1" applyFill="1" applyBorder="1" applyAlignment="1" applyProtection="1">
      <alignment horizontal="left"/>
      <protection/>
    </xf>
    <xf numFmtId="0" fontId="18" fillId="4" borderId="32" xfId="0" applyFont="1" applyFill="1" applyBorder="1" applyAlignment="1" applyProtection="1">
      <alignment horizontal="left"/>
      <protection/>
    </xf>
    <xf numFmtId="0" fontId="19" fillId="4" borderId="19" xfId="0" applyFont="1" applyFill="1" applyBorder="1" applyAlignment="1">
      <alignment horizontal="right"/>
    </xf>
    <xf numFmtId="184" fontId="19" fillId="4" borderId="19" xfId="0" applyNumberFormat="1" applyFont="1" applyFill="1" applyBorder="1" applyAlignment="1">
      <alignment horizontal="center"/>
    </xf>
    <xf numFmtId="0" fontId="19" fillId="4" borderId="19" xfId="0" applyFont="1" applyFill="1" applyBorder="1" applyAlignment="1">
      <alignment horizontal="left"/>
    </xf>
    <xf numFmtId="0" fontId="19" fillId="4" borderId="19" xfId="0" applyFont="1" applyFill="1" applyBorder="1" applyAlignment="1">
      <alignment/>
    </xf>
    <xf numFmtId="0" fontId="8" fillId="4" borderId="28" xfId="0" applyFont="1" applyFill="1" applyBorder="1" applyAlignment="1" applyProtection="1">
      <alignment horizontal="centerContinuous"/>
      <protection/>
    </xf>
    <xf numFmtId="0" fontId="0" fillId="4" borderId="49" xfId="0" applyFill="1" applyBorder="1" applyAlignment="1">
      <alignment horizontal="center"/>
    </xf>
    <xf numFmtId="178" fontId="0" fillId="4" borderId="40" xfId="0" applyNumberFormat="1" applyFill="1" applyBorder="1" applyAlignment="1" applyProtection="1">
      <alignment horizontal="center"/>
      <protection/>
    </xf>
    <xf numFmtId="0" fontId="0" fillId="4" borderId="5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18" fillId="4" borderId="19" xfId="0" applyFont="1" applyFill="1" applyBorder="1" applyAlignment="1">
      <alignment horizontal="right"/>
    </xf>
    <xf numFmtId="166" fontId="0" fillId="0" borderId="0" xfId="0" applyNumberFormat="1" applyAlignment="1">
      <alignment/>
    </xf>
    <xf numFmtId="180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7" borderId="53" xfId="0" applyFill="1" applyBorder="1" applyAlignment="1">
      <alignment/>
    </xf>
    <xf numFmtId="0" fontId="8" fillId="4" borderId="26" xfId="0" applyFont="1" applyFill="1" applyBorder="1" applyAlignment="1">
      <alignment horizontal="centerContinuous"/>
    </xf>
    <xf numFmtId="0" fontId="8" fillId="4" borderId="28" xfId="0" applyFont="1" applyFill="1" applyBorder="1" applyAlignment="1">
      <alignment horizontal="centerContinuous"/>
    </xf>
    <xf numFmtId="0" fontId="0" fillId="4" borderId="0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 horizontal="right"/>
      <protection/>
    </xf>
    <xf numFmtId="0" fontId="0" fillId="4" borderId="0" xfId="0" applyNumberFormat="1" applyFill="1" applyBorder="1" applyAlignment="1" applyProtection="1">
      <alignment horizontal="left"/>
      <protection/>
    </xf>
    <xf numFmtId="0" fontId="0" fillId="4" borderId="29" xfId="0" applyNumberFormat="1" applyFill="1" applyBorder="1" applyAlignment="1" applyProtection="1">
      <alignment/>
      <protection/>
    </xf>
    <xf numFmtId="0" fontId="6" fillId="4" borderId="25" xfId="0" applyNumberFormat="1" applyFont="1" applyFill="1" applyBorder="1" applyAlignment="1" applyProtection="1">
      <alignment horizontal="centerContinuous"/>
      <protection/>
    </xf>
    <xf numFmtId="0" fontId="0" fillId="4" borderId="26" xfId="0" applyNumberFormat="1" applyFill="1" applyBorder="1" applyAlignment="1" applyProtection="1">
      <alignment horizontal="centerContinuous"/>
      <protection/>
    </xf>
    <xf numFmtId="0" fontId="0" fillId="4" borderId="27" xfId="0" applyNumberFormat="1" applyFill="1" applyBorder="1" applyAlignment="1" applyProtection="1">
      <alignment horizontal="centerContinuous"/>
      <protection/>
    </xf>
    <xf numFmtId="187" fontId="0" fillId="0" borderId="0" xfId="0" applyNumberFormat="1" applyAlignment="1" applyProtection="1">
      <alignment/>
      <protection/>
    </xf>
    <xf numFmtId="0" fontId="0" fillId="4" borderId="28" xfId="0" applyNumberForma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4" borderId="30" xfId="0" applyNumberFormat="1" applyFill="1" applyBorder="1" applyAlignment="1" applyProtection="1">
      <alignment/>
      <protection/>
    </xf>
    <xf numFmtId="0" fontId="0" fillId="4" borderId="31" xfId="0" applyNumberFormat="1" applyFill="1" applyBorder="1" applyAlignment="1" applyProtection="1">
      <alignment/>
      <protection/>
    </xf>
    <xf numFmtId="0" fontId="0" fillId="4" borderId="32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 horizontal="centerContinuous"/>
      <protection/>
    </xf>
    <xf numFmtId="0" fontId="0" fillId="4" borderId="54" xfId="0" applyNumberFormat="1" applyFill="1" applyBorder="1" applyAlignment="1" applyProtection="1">
      <alignment horizontal="centerContinuous"/>
      <protection/>
    </xf>
    <xf numFmtId="0" fontId="0" fillId="4" borderId="51" xfId="0" applyNumberFormat="1" applyFill="1" applyBorder="1" applyAlignment="1" applyProtection="1">
      <alignment horizontal="centerContinuous"/>
      <protection/>
    </xf>
    <xf numFmtId="0" fontId="0" fillId="4" borderId="50" xfId="0" applyNumberFormat="1" applyFill="1" applyBorder="1" applyAlignment="1" applyProtection="1">
      <alignment horizontal="right"/>
      <protection/>
    </xf>
    <xf numFmtId="0" fontId="7" fillId="4" borderId="0" xfId="0" applyNumberFormat="1" applyFont="1" applyFill="1" applyBorder="1" applyAlignment="1" applyProtection="1">
      <alignment horizontal="center"/>
      <protection/>
    </xf>
    <xf numFmtId="0" fontId="9" fillId="7" borderId="51" xfId="0" applyFont="1" applyFill="1" applyBorder="1" applyAlignment="1">
      <alignment horizontal="center"/>
    </xf>
    <xf numFmtId="0" fontId="9" fillId="7" borderId="55" xfId="0" applyFont="1" applyFill="1" applyBorder="1" applyAlignment="1">
      <alignment horizontal="center"/>
    </xf>
    <xf numFmtId="0" fontId="9" fillId="7" borderId="56" xfId="0" applyFont="1" applyFill="1" applyBorder="1" applyAlignment="1">
      <alignment horizontal="center"/>
    </xf>
    <xf numFmtId="0" fontId="9" fillId="7" borderId="57" xfId="0" applyFont="1" applyFill="1" applyBorder="1" applyAlignment="1">
      <alignment horizontal="center"/>
    </xf>
    <xf numFmtId="0" fontId="9" fillId="7" borderId="58" xfId="0" applyFont="1" applyFill="1" applyBorder="1" applyAlignment="1">
      <alignment horizontal="center"/>
    </xf>
    <xf numFmtId="0" fontId="0" fillId="4" borderId="29" xfId="0" applyNumberFormat="1" applyFill="1" applyBorder="1" applyAlignment="1" applyProtection="1">
      <alignment horizontal="centerContinuous"/>
      <protection/>
    </xf>
    <xf numFmtId="0" fontId="8" fillId="4" borderId="0" xfId="0" applyNumberFormat="1" applyFont="1" applyFill="1" applyBorder="1" applyAlignment="1" applyProtection="1">
      <alignment/>
      <protection/>
    </xf>
    <xf numFmtId="0" fontId="7" fillId="4" borderId="28" xfId="0" applyNumberFormat="1" applyFont="1" applyFill="1" applyBorder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4" borderId="59" xfId="0" applyFont="1" applyFill="1" applyBorder="1" applyAlignment="1">
      <alignment horizontal="center" textRotation="180"/>
    </xf>
    <xf numFmtId="0" fontId="21" fillId="4" borderId="60" xfId="0" applyFont="1" applyFill="1" applyBorder="1" applyAlignment="1">
      <alignment horizontal="center" textRotation="180"/>
    </xf>
    <xf numFmtId="0" fontId="21" fillId="4" borderId="61" xfId="0" applyFont="1" applyFill="1" applyBorder="1" applyAlignment="1">
      <alignment horizontal="center" textRotation="180"/>
    </xf>
    <xf numFmtId="0" fontId="21" fillId="4" borderId="30" xfId="0" applyFont="1" applyFill="1" applyBorder="1" applyAlignment="1">
      <alignment horizontal="center" vertical="center"/>
    </xf>
    <xf numFmtId="0" fontId="21" fillId="4" borderId="31" xfId="0" applyFont="1" applyFill="1" applyBorder="1" applyAlignment="1" applyProtection="1">
      <alignment horizontal="center" vertical="center"/>
      <protection/>
    </xf>
    <xf numFmtId="0" fontId="21" fillId="4" borderId="28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/>
    </xf>
    <xf numFmtId="179" fontId="21" fillId="4" borderId="0" xfId="0" applyNumberFormat="1" applyFont="1" applyFill="1" applyAlignment="1" applyProtection="1">
      <alignment vertical="center"/>
      <protection/>
    </xf>
    <xf numFmtId="179" fontId="21" fillId="4" borderId="29" xfId="0" applyNumberFormat="1" applyFont="1" applyFill="1" applyBorder="1" applyAlignment="1" applyProtection="1">
      <alignment vertical="center"/>
      <protection/>
    </xf>
    <xf numFmtId="0" fontId="21" fillId="4" borderId="28" xfId="0" applyFont="1" applyFill="1" applyBorder="1" applyAlignment="1">
      <alignment vertical="center"/>
    </xf>
    <xf numFmtId="179" fontId="21" fillId="4" borderId="31" xfId="0" applyNumberFormat="1" applyFont="1" applyFill="1" applyBorder="1" applyAlignment="1" applyProtection="1">
      <alignment vertical="center"/>
      <protection/>
    </xf>
    <xf numFmtId="190" fontId="22" fillId="4" borderId="0" xfId="0" applyNumberFormat="1" applyFont="1" applyFill="1" applyAlignment="1" applyProtection="1">
      <alignment vertical="center"/>
      <protection/>
    </xf>
    <xf numFmtId="190" fontId="22" fillId="4" borderId="31" xfId="0" applyNumberFormat="1" applyFont="1" applyFill="1" applyBorder="1" applyAlignment="1" applyProtection="1">
      <alignment vertical="center"/>
      <protection/>
    </xf>
    <xf numFmtId="190" fontId="22" fillId="4" borderId="0" xfId="0" applyNumberFormat="1" applyFont="1" applyFill="1" applyAlignment="1">
      <alignment vertical="center"/>
    </xf>
    <xf numFmtId="190" fontId="22" fillId="4" borderId="31" xfId="0" applyNumberFormat="1" applyFont="1" applyFill="1" applyBorder="1" applyAlignment="1">
      <alignment vertical="center"/>
    </xf>
    <xf numFmtId="2" fontId="21" fillId="4" borderId="0" xfId="0" applyNumberFormat="1" applyFont="1" applyFill="1" applyAlignment="1" applyProtection="1">
      <alignment vertical="center"/>
      <protection/>
    </xf>
    <xf numFmtId="2" fontId="21" fillId="4" borderId="0" xfId="0" applyNumberFormat="1" applyFont="1" applyFill="1" applyBorder="1" applyAlignment="1" applyProtection="1">
      <alignment horizontal="center" vertical="center"/>
      <protection/>
    </xf>
    <xf numFmtId="2" fontId="21" fillId="4" borderId="29" xfId="0" applyNumberFormat="1" applyFont="1" applyFill="1" applyBorder="1" applyAlignment="1">
      <alignment vertical="center"/>
    </xf>
    <xf numFmtId="179" fontId="21" fillId="4" borderId="0" xfId="0" applyNumberFormat="1" applyFont="1" applyFill="1" applyBorder="1" applyAlignment="1" applyProtection="1">
      <alignment horizontal="center" vertical="center"/>
      <protection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/>
    </xf>
    <xf numFmtId="2" fontId="21" fillId="4" borderId="0" xfId="0" applyNumberFormat="1" applyFont="1" applyFill="1" applyBorder="1" applyAlignment="1" applyProtection="1">
      <alignment vertical="center"/>
      <protection/>
    </xf>
    <xf numFmtId="0" fontId="21" fillId="4" borderId="0" xfId="0" applyFont="1" applyFill="1" applyAlignment="1">
      <alignment horizontal="center" vertical="center"/>
    </xf>
    <xf numFmtId="2" fontId="21" fillId="4" borderId="0" xfId="0" applyNumberFormat="1" applyFont="1" applyFill="1" applyAlignment="1">
      <alignment vertical="center"/>
    </xf>
    <xf numFmtId="0" fontId="21" fillId="4" borderId="31" xfId="0" applyFont="1" applyFill="1" applyBorder="1" applyAlignment="1">
      <alignment horizontal="center" vertical="center"/>
    </xf>
    <xf numFmtId="2" fontId="21" fillId="4" borderId="31" xfId="0" applyNumberFormat="1" applyFont="1" applyFill="1" applyBorder="1" applyAlignment="1">
      <alignment vertical="center"/>
    </xf>
    <xf numFmtId="0" fontId="21" fillId="4" borderId="30" xfId="0" applyFont="1" applyFill="1" applyBorder="1" applyAlignment="1">
      <alignment vertical="center"/>
    </xf>
    <xf numFmtId="2" fontId="21" fillId="4" borderId="32" xfId="0" applyNumberFormat="1" applyFont="1" applyFill="1" applyBorder="1" applyAlignment="1">
      <alignment vertical="center"/>
    </xf>
    <xf numFmtId="190" fontId="22" fillId="4" borderId="0" xfId="0" applyNumberFormat="1" applyFont="1" applyFill="1" applyBorder="1" applyAlignment="1" applyProtection="1">
      <alignment vertical="center"/>
      <protection/>
    </xf>
    <xf numFmtId="190" fontId="22" fillId="4" borderId="0" xfId="0" applyNumberFormat="1" applyFont="1" applyFill="1" applyBorder="1" applyAlignment="1">
      <alignment vertical="center"/>
    </xf>
    <xf numFmtId="179" fontId="21" fillId="4" borderId="29" xfId="0" applyNumberFormat="1" applyFont="1" applyFill="1" applyBorder="1" applyAlignment="1">
      <alignment vertical="center"/>
    </xf>
    <xf numFmtId="179" fontId="21" fillId="4" borderId="32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191" fontId="9" fillId="7" borderId="55" xfId="0" applyNumberFormat="1" applyFont="1" applyFill="1" applyBorder="1" applyAlignment="1">
      <alignment horizontal="center"/>
    </xf>
    <xf numFmtId="192" fontId="9" fillId="7" borderId="55" xfId="0" applyNumberFormat="1" applyFont="1" applyFill="1" applyBorder="1" applyAlignment="1">
      <alignment horizontal="center"/>
    </xf>
    <xf numFmtId="193" fontId="9" fillId="7" borderId="62" xfId="0" applyNumberFormat="1" applyFont="1" applyFill="1" applyBorder="1" applyAlignment="1">
      <alignment horizontal="center"/>
    </xf>
    <xf numFmtId="194" fontId="5" fillId="0" borderId="10" xfId="0" applyNumberFormat="1" applyFont="1" applyFill="1" applyBorder="1" applyAlignment="1" applyProtection="1">
      <alignment/>
      <protection locked="0"/>
    </xf>
    <xf numFmtId="0" fontId="19" fillId="4" borderId="21" xfId="0" applyFont="1" applyFill="1" applyBorder="1" applyAlignment="1">
      <alignment horizontal="right"/>
    </xf>
    <xf numFmtId="0" fontId="6" fillId="4" borderId="25" xfId="59" applyFont="1" applyFill="1" applyBorder="1" applyAlignment="1">
      <alignment horizontal="centerContinuous"/>
      <protection/>
    </xf>
    <xf numFmtId="0" fontId="6" fillId="4" borderId="26" xfId="59" applyFont="1" applyFill="1" applyBorder="1" applyAlignment="1">
      <alignment horizontal="centerContinuous"/>
      <protection/>
    </xf>
    <xf numFmtId="0" fontId="6" fillId="4" borderId="27" xfId="59" applyFont="1" applyFill="1" applyBorder="1" applyAlignment="1">
      <alignment horizontal="centerContinuous"/>
      <protection/>
    </xf>
    <xf numFmtId="0" fontId="4" fillId="0" borderId="0" xfId="59">
      <alignment/>
      <protection/>
    </xf>
    <xf numFmtId="0" fontId="0" fillId="4" borderId="28" xfId="59" applyFont="1" applyFill="1" applyBorder="1" applyAlignment="1">
      <alignment horizontal="centerContinuous"/>
      <protection/>
    </xf>
    <xf numFmtId="0" fontId="4" fillId="4" borderId="0" xfId="59" applyFill="1" applyBorder="1" applyAlignment="1">
      <alignment horizontal="centerContinuous"/>
      <protection/>
    </xf>
    <xf numFmtId="0" fontId="4" fillId="4" borderId="29" xfId="59" applyFill="1" applyBorder="1" applyAlignment="1">
      <alignment horizontal="centerContinuous"/>
      <protection/>
    </xf>
    <xf numFmtId="0" fontId="4" fillId="4" borderId="28" xfId="59" applyFill="1" applyBorder="1">
      <alignment/>
      <protection/>
    </xf>
    <xf numFmtId="0" fontId="4" fillId="4" borderId="0" xfId="59" applyFill="1" applyBorder="1" applyAlignment="1">
      <alignment horizontal="center"/>
      <protection/>
    </xf>
    <xf numFmtId="0" fontId="4" fillId="4" borderId="0" xfId="59" applyFill="1" applyBorder="1">
      <alignment/>
      <protection/>
    </xf>
    <xf numFmtId="0" fontId="4" fillId="4" borderId="29" xfId="59" applyFill="1" applyBorder="1">
      <alignment/>
      <protection/>
    </xf>
    <xf numFmtId="0" fontId="4" fillId="4" borderId="50" xfId="59" applyFill="1" applyBorder="1" applyAlignment="1">
      <alignment horizontal="center"/>
      <protection/>
    </xf>
    <xf numFmtId="0" fontId="4" fillId="4" borderId="40" xfId="59" applyFill="1" applyBorder="1" applyAlignment="1">
      <alignment horizontal="center"/>
      <protection/>
    </xf>
    <xf numFmtId="0" fontId="4" fillId="4" borderId="47" xfId="59" applyFill="1" applyBorder="1" applyAlignment="1">
      <alignment horizontal="center"/>
      <protection/>
    </xf>
    <xf numFmtId="0" fontId="4" fillId="4" borderId="49" xfId="59" applyFill="1" applyBorder="1" applyAlignment="1">
      <alignment horizontal="center"/>
      <protection/>
    </xf>
    <xf numFmtId="0" fontId="4" fillId="4" borderId="51" xfId="59" applyFill="1" applyBorder="1" applyAlignment="1">
      <alignment horizontal="center"/>
      <protection/>
    </xf>
    <xf numFmtId="0" fontId="4" fillId="4" borderId="41" xfId="59" applyFill="1" applyBorder="1" applyAlignment="1">
      <alignment horizontal="center"/>
      <protection/>
    </xf>
    <xf numFmtId="0" fontId="4" fillId="4" borderId="63" xfId="59" applyFill="1" applyBorder="1" applyAlignment="1">
      <alignment horizontal="center"/>
      <protection/>
    </xf>
    <xf numFmtId="0" fontId="4" fillId="4" borderId="52" xfId="59" applyFill="1" applyBorder="1" applyAlignment="1">
      <alignment horizontal="center"/>
      <protection/>
    </xf>
    <xf numFmtId="0" fontId="4" fillId="4" borderId="28" xfId="59" applyFill="1" applyBorder="1" applyAlignment="1">
      <alignment horizontal="right"/>
      <protection/>
    </xf>
    <xf numFmtId="0" fontId="5" fillId="0" borderId="10" xfId="59" applyFont="1" applyFill="1" applyBorder="1" applyProtection="1">
      <alignment/>
      <protection locked="0"/>
    </xf>
    <xf numFmtId="0" fontId="4" fillId="4" borderId="49" xfId="59" applyFill="1" applyBorder="1">
      <alignment/>
      <protection/>
    </xf>
    <xf numFmtId="0" fontId="4" fillId="4" borderId="47" xfId="59" applyFill="1" applyBorder="1">
      <alignment/>
      <protection/>
    </xf>
    <xf numFmtId="0" fontId="4" fillId="4" borderId="0" xfId="59" applyFill="1" applyBorder="1" applyAlignment="1">
      <alignment horizontal="right"/>
      <protection/>
    </xf>
    <xf numFmtId="0" fontId="4" fillId="4" borderId="30" xfId="59" applyFill="1" applyBorder="1">
      <alignment/>
      <protection/>
    </xf>
    <xf numFmtId="0" fontId="4" fillId="4" borderId="31" xfId="59" applyFill="1" applyBorder="1">
      <alignment/>
      <protection/>
    </xf>
    <xf numFmtId="0" fontId="4" fillId="4" borderId="32" xfId="59" applyFill="1" applyBorder="1">
      <alignment/>
      <protection/>
    </xf>
    <xf numFmtId="0" fontId="4" fillId="4" borderId="51" xfId="59" applyFont="1" applyFill="1" applyBorder="1" applyAlignment="1">
      <alignment horizontal="center"/>
      <protection/>
    </xf>
    <xf numFmtId="0" fontId="4" fillId="4" borderId="28" xfId="59" applyFont="1" applyFill="1" applyBorder="1" applyAlignment="1">
      <alignment horizontal="right"/>
      <protection/>
    </xf>
    <xf numFmtId="0" fontId="0" fillId="4" borderId="0" xfId="0" applyFill="1" applyBorder="1" applyAlignment="1">
      <alignment/>
    </xf>
    <xf numFmtId="166" fontId="0" fillId="4" borderId="0" xfId="0" applyNumberFormat="1" applyFill="1" applyBorder="1" applyAlignment="1">
      <alignment/>
    </xf>
    <xf numFmtId="0" fontId="0" fillId="7" borderId="31" xfId="0" applyFill="1" applyBorder="1" applyAlignment="1">
      <alignment horizontal="right"/>
    </xf>
    <xf numFmtId="166" fontId="4" fillId="7" borderId="31" xfId="0" applyNumberFormat="1" applyFont="1" applyFill="1" applyBorder="1" applyAlignment="1">
      <alignment horizontal="center"/>
    </xf>
    <xf numFmtId="0" fontId="0" fillId="7" borderId="38" xfId="0" applyFill="1" applyBorder="1" applyAlignment="1">
      <alignment horizontal="right"/>
    </xf>
    <xf numFmtId="0" fontId="0" fillId="7" borderId="32" xfId="0" applyFill="1" applyBorder="1" applyAlignment="1">
      <alignment horizontal="left"/>
    </xf>
    <xf numFmtId="0" fontId="0" fillId="7" borderId="38" xfId="0" applyFill="1" applyBorder="1" applyAlignment="1">
      <alignment/>
    </xf>
    <xf numFmtId="0" fontId="0" fillId="7" borderId="38" xfId="0" applyFont="1" applyFill="1" applyBorder="1" applyAlignment="1">
      <alignment horizontal="center"/>
    </xf>
    <xf numFmtId="0" fontId="0" fillId="7" borderId="31" xfId="0" applyNumberFormat="1" applyFont="1" applyFill="1" applyBorder="1" applyAlignment="1">
      <alignment horizontal="center"/>
    </xf>
    <xf numFmtId="0" fontId="0" fillId="7" borderId="31" xfId="0" applyFill="1" applyBorder="1" applyAlignment="1">
      <alignment horizontal="left"/>
    </xf>
    <xf numFmtId="0" fontId="0" fillId="7" borderId="31" xfId="0" applyNumberFormat="1" applyFont="1" applyFill="1" applyBorder="1" applyAlignment="1">
      <alignment horizontal="right"/>
    </xf>
    <xf numFmtId="166" fontId="0" fillId="7" borderId="31" xfId="0" applyNumberFormat="1" applyFont="1" applyFill="1" applyBorder="1" applyAlignment="1">
      <alignment horizontal="left"/>
    </xf>
    <xf numFmtId="166" fontId="0" fillId="7" borderId="38" xfId="0" applyNumberFormat="1" applyFill="1" applyBorder="1" applyAlignment="1">
      <alignment horizontal="right"/>
    </xf>
    <xf numFmtId="166" fontId="0" fillId="7" borderId="38" xfId="0" applyNumberFormat="1" applyFont="1" applyFill="1" applyBorder="1" applyAlignment="1">
      <alignment horizontal="left"/>
    </xf>
    <xf numFmtId="166" fontId="0" fillId="7" borderId="39" xfId="0" applyNumberFormat="1" applyFill="1" applyBorder="1" applyAlignment="1">
      <alignment horizontal="left"/>
    </xf>
    <xf numFmtId="166" fontId="0" fillId="7" borderId="0" xfId="0" applyNumberFormat="1" applyFont="1" applyFill="1" applyBorder="1" applyAlignment="1">
      <alignment horizontal="right"/>
    </xf>
    <xf numFmtId="166" fontId="5" fillId="0" borderId="64" xfId="0" applyNumberFormat="1" applyFont="1" applyFill="1" applyBorder="1" applyAlignment="1" applyProtection="1">
      <alignment/>
      <protection locked="0"/>
    </xf>
    <xf numFmtId="0" fontId="4" fillId="4" borderId="0" xfId="0" applyFont="1" applyFill="1" applyBorder="1" applyAlignment="1">
      <alignment/>
    </xf>
    <xf numFmtId="0" fontId="12" fillId="4" borderId="12" xfId="58" applyFont="1" applyFill="1" applyBorder="1" applyAlignment="1">
      <alignment horizontal="centerContinuous"/>
      <protection/>
    </xf>
    <xf numFmtId="0" fontId="12" fillId="4" borderId="13" xfId="58" applyFont="1" applyFill="1" applyBorder="1" applyAlignment="1">
      <alignment horizontal="centerContinuous"/>
      <protection/>
    </xf>
    <xf numFmtId="0" fontId="12" fillId="4" borderId="14" xfId="58" applyFont="1" applyFill="1" applyBorder="1" applyAlignment="1">
      <alignment horizontal="centerContinuous"/>
      <protection/>
    </xf>
    <xf numFmtId="0" fontId="4" fillId="4" borderId="0" xfId="58" applyFont="1" applyFill="1" applyAlignment="1">
      <alignment horizontal="right"/>
      <protection/>
    </xf>
    <xf numFmtId="0" fontId="4" fillId="4" borderId="16" xfId="58" applyFont="1" applyFill="1" applyBorder="1">
      <alignment/>
      <protection/>
    </xf>
    <xf numFmtId="0" fontId="4" fillId="0" borderId="0" xfId="58" applyFill="1" applyBorder="1">
      <alignment/>
      <protection/>
    </xf>
    <xf numFmtId="0" fontId="4" fillId="4" borderId="18" xfId="58" applyFill="1" applyBorder="1" applyAlignment="1">
      <alignment/>
      <protection/>
    </xf>
    <xf numFmtId="0" fontId="4" fillId="4" borderId="19" xfId="58" applyFill="1" applyBorder="1" applyAlignment="1">
      <alignment/>
      <protection/>
    </xf>
    <xf numFmtId="0" fontId="4" fillId="4" borderId="21" xfId="58" applyFill="1" applyBorder="1" applyAlignment="1">
      <alignment/>
      <protection/>
    </xf>
    <xf numFmtId="0" fontId="4" fillId="4" borderId="15" xfId="58" applyFont="1" applyFill="1" applyBorder="1" applyAlignment="1">
      <alignment horizontal="centerContinuous"/>
      <protection/>
    </xf>
    <xf numFmtId="0" fontId="4" fillId="4" borderId="0" xfId="58" applyFill="1" applyAlignment="1">
      <alignment horizontal="centerContinuous"/>
      <protection/>
    </xf>
    <xf numFmtId="0" fontId="4" fillId="4" borderId="16" xfId="58" applyFill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78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79" fontId="0" fillId="0" borderId="0" xfId="0" applyNumberFormat="1" applyAlignment="1" applyProtection="1">
      <alignment horizontal="centerContinuous"/>
      <protection/>
    </xf>
    <xf numFmtId="18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89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7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18" borderId="56" xfId="0" applyFill="1" applyBorder="1" applyAlignment="1">
      <alignment/>
    </xf>
    <xf numFmtId="0" fontId="0" fillId="18" borderId="65" xfId="0" applyFill="1" applyBorder="1" applyAlignment="1">
      <alignment/>
    </xf>
    <xf numFmtId="0" fontId="0" fillId="18" borderId="65" xfId="0" applyFill="1" applyBorder="1" applyAlignment="1">
      <alignment horizontal="center"/>
    </xf>
    <xf numFmtId="0" fontId="0" fillId="18" borderId="66" xfId="0" applyFill="1" applyBorder="1" applyAlignment="1">
      <alignment/>
    </xf>
    <xf numFmtId="0" fontId="0" fillId="18" borderId="50" xfId="0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8" fillId="18" borderId="67" xfId="0" applyFont="1" applyFill="1" applyBorder="1" applyAlignment="1">
      <alignment horizontal="center"/>
    </xf>
    <xf numFmtId="0" fontId="0" fillId="18" borderId="50" xfId="0" applyFill="1" applyBorder="1" applyAlignment="1">
      <alignment/>
    </xf>
    <xf numFmtId="0" fontId="0" fillId="18" borderId="0" xfId="0" applyFill="1" applyBorder="1" applyAlignment="1">
      <alignment horizontal="center"/>
    </xf>
    <xf numFmtId="0" fontId="0" fillId="18" borderId="67" xfId="0" applyFill="1" applyBorder="1" applyAlignment="1">
      <alignment horizontal="center"/>
    </xf>
    <xf numFmtId="0" fontId="0" fillId="0" borderId="0" xfId="0" applyAlignment="1">
      <alignment/>
    </xf>
    <xf numFmtId="0" fontId="0" fillId="18" borderId="51" xfId="0" applyFill="1" applyBorder="1" applyAlignment="1">
      <alignment/>
    </xf>
    <xf numFmtId="0" fontId="0" fillId="18" borderId="54" xfId="0" applyFill="1" applyBorder="1" applyAlignment="1">
      <alignment/>
    </xf>
    <xf numFmtId="0" fontId="0" fillId="18" borderId="68" xfId="0" applyFill="1" applyBorder="1" applyAlignment="1">
      <alignment/>
    </xf>
    <xf numFmtId="0" fontId="0" fillId="19" borderId="56" xfId="0" applyFill="1" applyBorder="1" applyAlignment="1">
      <alignment/>
    </xf>
    <xf numFmtId="0" fontId="0" fillId="19" borderId="65" xfId="0" applyFill="1" applyBorder="1" applyAlignment="1">
      <alignment/>
    </xf>
    <xf numFmtId="0" fontId="0" fillId="19" borderId="65" xfId="0" applyFill="1" applyBorder="1" applyAlignment="1">
      <alignment/>
    </xf>
    <xf numFmtId="0" fontId="0" fillId="19" borderId="66" xfId="0" applyFill="1" applyBorder="1" applyAlignment="1">
      <alignment/>
    </xf>
    <xf numFmtId="0" fontId="0" fillId="19" borderId="50" xfId="0" applyFill="1" applyBorder="1" applyAlignment="1">
      <alignment horizontal="left"/>
    </xf>
    <xf numFmtId="0" fontId="8" fillId="19" borderId="0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67" xfId="0" applyFill="1" applyBorder="1" applyAlignment="1">
      <alignment/>
    </xf>
    <xf numFmtId="0" fontId="0" fillId="19" borderId="50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51" xfId="0" applyFill="1" applyBorder="1" applyAlignment="1">
      <alignment/>
    </xf>
    <xf numFmtId="0" fontId="0" fillId="19" borderId="54" xfId="0" applyFill="1" applyBorder="1" applyAlignment="1">
      <alignment/>
    </xf>
    <xf numFmtId="0" fontId="0" fillId="19" borderId="68" xfId="0" applyFill="1" applyBorder="1" applyAlignment="1">
      <alignment/>
    </xf>
    <xf numFmtId="0" fontId="0" fillId="18" borderId="50" xfId="0" applyFill="1" applyBorder="1" applyAlignment="1">
      <alignment horizontal="left"/>
    </xf>
    <xf numFmtId="0" fontId="0" fillId="18" borderId="0" xfId="0" applyFill="1" applyBorder="1" applyAlignment="1">
      <alignment/>
    </xf>
    <xf numFmtId="0" fontId="0" fillId="18" borderId="67" xfId="0" applyFill="1" applyBorder="1" applyAlignment="1">
      <alignment/>
    </xf>
    <xf numFmtId="0" fontId="0" fillId="18" borderId="50" xfId="0" applyFill="1" applyBorder="1" applyAlignment="1">
      <alignment/>
    </xf>
    <xf numFmtId="0" fontId="0" fillId="18" borderId="51" xfId="0" applyFill="1" applyBorder="1" applyAlignment="1">
      <alignment/>
    </xf>
    <xf numFmtId="0" fontId="0" fillId="18" borderId="54" xfId="0" applyFill="1" applyBorder="1" applyAlignment="1">
      <alignment/>
    </xf>
    <xf numFmtId="0" fontId="0" fillId="18" borderId="68" xfId="0" applyFill="1" applyBorder="1" applyAlignment="1">
      <alignment/>
    </xf>
    <xf numFmtId="0" fontId="0" fillId="19" borderId="66" xfId="0" applyFill="1" applyBorder="1" applyAlignment="1">
      <alignment/>
    </xf>
    <xf numFmtId="0" fontId="13" fillId="19" borderId="56" xfId="0" applyFont="1" applyFill="1" applyBorder="1" applyAlignment="1">
      <alignment horizontal="centerContinuous"/>
    </xf>
    <xf numFmtId="0" fontId="13" fillId="19" borderId="65" xfId="0" applyFont="1" applyFill="1" applyBorder="1" applyAlignment="1">
      <alignment horizontal="centerContinuous"/>
    </xf>
    <xf numFmtId="0" fontId="13" fillId="19" borderId="66" xfId="0" applyFont="1" applyFill="1" applyBorder="1" applyAlignment="1">
      <alignment horizontal="centerContinuous"/>
    </xf>
    <xf numFmtId="0" fontId="24" fillId="19" borderId="56" xfId="0" applyFont="1" applyFill="1" applyBorder="1" applyAlignment="1">
      <alignment horizontal="centerContinuous"/>
    </xf>
    <xf numFmtId="0" fontId="24" fillId="19" borderId="66" xfId="0" applyFont="1" applyFill="1" applyBorder="1" applyAlignment="1">
      <alignment horizontal="centerContinuous"/>
    </xf>
    <xf numFmtId="0" fontId="8" fillId="19" borderId="50" xfId="0" applyFont="1" applyFill="1" applyBorder="1" applyAlignment="1">
      <alignment horizontal="right"/>
    </xf>
    <xf numFmtId="0" fontId="0" fillId="0" borderId="45" xfId="0" applyNumberFormat="1" applyFill="1" applyBorder="1" applyAlignment="1" applyProtection="1">
      <alignment/>
      <protection locked="0"/>
    </xf>
    <xf numFmtId="0" fontId="0" fillId="19" borderId="50" xfId="0" applyNumberFormat="1" applyFill="1" applyBorder="1" applyAlignment="1">
      <alignment/>
    </xf>
    <xf numFmtId="0" fontId="9" fillId="7" borderId="69" xfId="0" applyFont="1" applyFill="1" applyBorder="1" applyAlignment="1">
      <alignment horizontal="center"/>
    </xf>
    <xf numFmtId="193" fontId="9" fillId="7" borderId="7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0" borderId="64" xfId="0" applyNumberFormat="1" applyFont="1" applyFill="1" applyBorder="1" applyAlignment="1" applyProtection="1">
      <alignment/>
      <protection locked="0"/>
    </xf>
    <xf numFmtId="0" fontId="9" fillId="4" borderId="0" xfId="0" applyFont="1" applyFill="1" applyBorder="1" applyAlignment="1">
      <alignment horizontal="center"/>
    </xf>
    <xf numFmtId="193" fontId="9" fillId="4" borderId="0" xfId="0" applyNumberFormat="1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193" fontId="9" fillId="4" borderId="31" xfId="0" applyNumberFormat="1" applyFont="1" applyFill="1" applyBorder="1" applyAlignment="1">
      <alignment horizontal="center"/>
    </xf>
    <xf numFmtId="0" fontId="0" fillId="4" borderId="67" xfId="0" applyNumberFormat="1" applyFill="1" applyBorder="1" applyAlignment="1" applyProtection="1">
      <alignment/>
      <protection/>
    </xf>
    <xf numFmtId="0" fontId="0" fillId="20" borderId="71" xfId="0" applyNumberFormat="1" applyFill="1" applyBorder="1" applyAlignment="1" applyProtection="1">
      <alignment/>
      <protection/>
    </xf>
    <xf numFmtId="0" fontId="0" fillId="20" borderId="72" xfId="0" applyNumberFormat="1" applyFill="1" applyBorder="1" applyAlignment="1" applyProtection="1">
      <alignment horizontal="right"/>
      <protection/>
    </xf>
    <xf numFmtId="0" fontId="0" fillId="20" borderId="73" xfId="0" applyNumberFormat="1" applyFill="1" applyBorder="1" applyAlignment="1" applyProtection="1">
      <alignment/>
      <protection/>
    </xf>
    <xf numFmtId="0" fontId="0" fillId="20" borderId="74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75" xfId="0" applyFill="1" applyBorder="1" applyAlignment="1">
      <alignment horizontal="center"/>
    </xf>
    <xf numFmtId="0" fontId="0" fillId="20" borderId="76" xfId="0" applyFill="1" applyBorder="1" applyAlignment="1">
      <alignment horizontal="center"/>
    </xf>
    <xf numFmtId="0" fontId="0" fillId="20" borderId="77" xfId="0" applyNumberFormat="1" applyFill="1" applyBorder="1" applyAlignment="1" applyProtection="1">
      <alignment horizontal="center"/>
      <protection/>
    </xf>
    <xf numFmtId="0" fontId="0" fillId="4" borderId="76" xfId="0" applyNumberFormat="1" applyFill="1" applyBorder="1" applyAlignment="1" applyProtection="1">
      <alignment horizontal="left"/>
      <protection/>
    </xf>
    <xf numFmtId="0" fontId="0" fillId="20" borderId="72" xfId="0" applyNumberFormat="1" applyFill="1" applyBorder="1" applyAlignment="1" applyProtection="1">
      <alignment/>
      <protection/>
    </xf>
    <xf numFmtId="0" fontId="0" fillId="20" borderId="78" xfId="0" applyFill="1" applyBorder="1" applyAlignment="1">
      <alignment horizontal="center"/>
    </xf>
    <xf numFmtId="0" fontId="0" fillId="20" borderId="79" xfId="0" applyFill="1" applyBorder="1" applyAlignment="1">
      <alignment horizontal="center"/>
    </xf>
    <xf numFmtId="0" fontId="0" fillId="4" borderId="47" xfId="0" applyNumberFormat="1" applyFill="1" applyBorder="1" applyAlignment="1" applyProtection="1">
      <alignment horizontal="centerContinuous"/>
      <protection/>
    </xf>
    <xf numFmtId="0" fontId="0" fillId="4" borderId="63" xfId="0" applyNumberFormat="1" applyFill="1" applyBorder="1" applyAlignment="1" applyProtection="1">
      <alignment horizontal="centerContinuous"/>
      <protection/>
    </xf>
    <xf numFmtId="0" fontId="0" fillId="4" borderId="47" xfId="0" applyNumberFormat="1" applyFill="1" applyBorder="1" applyAlignment="1" applyProtection="1">
      <alignment horizontal="right"/>
      <protection/>
    </xf>
    <xf numFmtId="0" fontId="0" fillId="20" borderId="80" xfId="0" applyFill="1" applyBorder="1" applyAlignment="1">
      <alignment horizontal="center"/>
    </xf>
    <xf numFmtId="0" fontId="0" fillId="20" borderId="81" xfId="0" applyNumberFormat="1" applyFill="1" applyBorder="1" applyAlignment="1" applyProtection="1">
      <alignment horizontal="center"/>
      <protection/>
    </xf>
    <xf numFmtId="0" fontId="0" fillId="20" borderId="47" xfId="0" applyFill="1" applyBorder="1" applyAlignment="1">
      <alignment horizontal="center"/>
    </xf>
    <xf numFmtId="0" fontId="0" fillId="4" borderId="47" xfId="0" applyNumberFormat="1" applyFill="1" applyBorder="1" applyAlignment="1" applyProtection="1">
      <alignment/>
      <protection/>
    </xf>
    <xf numFmtId="0" fontId="0" fillId="4" borderId="81" xfId="0" applyNumberFormat="1" applyFill="1" applyBorder="1" applyAlignment="1" applyProtection="1">
      <alignment/>
      <protection/>
    </xf>
    <xf numFmtId="0" fontId="0" fillId="4" borderId="82" xfId="0" applyFill="1" applyBorder="1" applyAlignment="1">
      <alignment/>
    </xf>
    <xf numFmtId="0" fontId="0" fillId="4" borderId="76" xfId="0" applyFill="1" applyBorder="1" applyAlignment="1">
      <alignment/>
    </xf>
    <xf numFmtId="0" fontId="0" fillId="4" borderId="81" xfId="0" applyFill="1" applyBorder="1" applyAlignment="1">
      <alignment/>
    </xf>
    <xf numFmtId="0" fontId="0" fillId="4" borderId="0" xfId="0" applyNumberFormat="1" applyFill="1" applyBorder="1" applyAlignment="1" applyProtection="1">
      <alignment horizontal="center"/>
      <protection/>
    </xf>
    <xf numFmtId="0" fontId="0" fillId="4" borderId="67" xfId="0" applyFill="1" applyBorder="1" applyAlignment="1">
      <alignment/>
    </xf>
    <xf numFmtId="0" fontId="0" fillId="4" borderId="67" xfId="0" applyNumberFormat="1" applyFill="1" applyBorder="1" applyAlignment="1" applyProtection="1">
      <alignment horizontal="centerContinuous"/>
      <protection/>
    </xf>
    <xf numFmtId="0" fontId="0" fillId="4" borderId="68" xfId="0" applyNumberFormat="1" applyFill="1" applyBorder="1" applyAlignment="1" applyProtection="1">
      <alignment horizontal="centerContinuous"/>
      <protection/>
    </xf>
    <xf numFmtId="0" fontId="0" fillId="4" borderId="67" xfId="0" applyNumberFormat="1" applyFill="1" applyBorder="1" applyAlignment="1" applyProtection="1">
      <alignment horizontal="left"/>
      <protection/>
    </xf>
    <xf numFmtId="0" fontId="0" fillId="4" borderId="83" xfId="0" applyNumberFormat="1" applyFill="1" applyBorder="1" applyAlignment="1" applyProtection="1">
      <alignment/>
      <protection/>
    </xf>
    <xf numFmtId="0" fontId="0" fillId="4" borderId="56" xfId="0" applyNumberFormat="1" applyFill="1" applyBorder="1" applyAlignment="1" applyProtection="1">
      <alignment horizontal="center"/>
      <protection/>
    </xf>
    <xf numFmtId="0" fontId="0" fillId="4" borderId="65" xfId="0" applyNumberFormat="1" applyFill="1" applyBorder="1" applyAlignment="1" applyProtection="1">
      <alignment/>
      <protection/>
    </xf>
    <xf numFmtId="0" fontId="0" fillId="4" borderId="84" xfId="0" applyNumberFormat="1" applyFill="1" applyBorder="1" applyAlignment="1" applyProtection="1">
      <alignment horizontal="centerContinuous"/>
      <protection/>
    </xf>
    <xf numFmtId="0" fontId="0" fillId="4" borderId="66" xfId="0" applyNumberFormat="1" applyFill="1" applyBorder="1" applyAlignment="1" applyProtection="1">
      <alignment horizontal="centerContinuous"/>
      <protection/>
    </xf>
    <xf numFmtId="0" fontId="9" fillId="4" borderId="0" xfId="0" applyFont="1" applyFill="1" applyBorder="1" applyAlignment="1">
      <alignment/>
    </xf>
    <xf numFmtId="0" fontId="0" fillId="20" borderId="85" xfId="0" applyNumberFormat="1" applyFill="1" applyBorder="1" applyAlignment="1" applyProtection="1">
      <alignment horizontal="center"/>
      <protection/>
    </xf>
    <xf numFmtId="0" fontId="0" fillId="20" borderId="86" xfId="0" applyNumberFormat="1" applyFill="1" applyBorder="1" applyAlignment="1" applyProtection="1">
      <alignment horizontal="center"/>
      <protection/>
    </xf>
    <xf numFmtId="0" fontId="0" fillId="20" borderId="87" xfId="0" applyNumberFormat="1" applyFill="1" applyBorder="1" applyAlignment="1" applyProtection="1">
      <alignment horizontal="center"/>
      <protection/>
    </xf>
    <xf numFmtId="0" fontId="0" fillId="20" borderId="88" xfId="0" applyNumberFormat="1" applyFill="1" applyBorder="1" applyAlignment="1" applyProtection="1">
      <alignment horizontal="center"/>
      <protection/>
    </xf>
    <xf numFmtId="0" fontId="0" fillId="4" borderId="50" xfId="0" applyFill="1" applyBorder="1" applyAlignment="1">
      <alignment/>
    </xf>
    <xf numFmtId="0" fontId="0" fillId="21" borderId="89" xfId="0" applyFill="1" applyBorder="1" applyAlignment="1">
      <alignment/>
    </xf>
    <xf numFmtId="0" fontId="0" fillId="21" borderId="90" xfId="0" applyFill="1" applyBorder="1" applyAlignment="1">
      <alignment/>
    </xf>
    <xf numFmtId="0" fontId="0" fillId="21" borderId="91" xfId="0" applyFill="1" applyBorder="1" applyAlignment="1">
      <alignment/>
    </xf>
    <xf numFmtId="0" fontId="0" fillId="20" borderId="51" xfId="0" applyFill="1" applyBorder="1" applyAlignment="1">
      <alignment horizontal="center"/>
    </xf>
    <xf numFmtId="0" fontId="0" fillId="20" borderId="92" xfId="0" applyFill="1" applyBorder="1" applyAlignment="1">
      <alignment horizontal="center"/>
    </xf>
    <xf numFmtId="0" fontId="0" fillId="20" borderId="63" xfId="0" applyFill="1" applyBorder="1" applyAlignment="1">
      <alignment horizontal="center"/>
    </xf>
    <xf numFmtId="0" fontId="0" fillId="20" borderId="93" xfId="0" applyFill="1" applyBorder="1" applyAlignment="1">
      <alignment horizontal="center"/>
    </xf>
    <xf numFmtId="0" fontId="25" fillId="4" borderId="50" xfId="0" applyNumberFormat="1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 horizontal="centerContinuous"/>
      <protection/>
    </xf>
    <xf numFmtId="0" fontId="0" fillId="4" borderId="0" xfId="0" applyFill="1" applyAlignment="1" applyProtection="1">
      <alignment/>
      <protection/>
    </xf>
    <xf numFmtId="0" fontId="10" fillId="4" borderId="28" xfId="0" applyFont="1" applyFill="1" applyBorder="1" applyAlignment="1" applyProtection="1">
      <alignment horizontal="centerContinuous"/>
      <protection/>
    </xf>
    <xf numFmtId="0" fontId="0" fillId="4" borderId="28" xfId="0" applyFont="1" applyFill="1" applyBorder="1" applyAlignment="1" applyProtection="1">
      <alignment horizontal="right"/>
      <protection/>
    </xf>
    <xf numFmtId="0" fontId="5" fillId="0" borderId="94" xfId="0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17" fillId="0" borderId="10" xfId="0" applyNumberFormat="1" applyFont="1" applyFill="1" applyBorder="1" applyAlignment="1" applyProtection="1">
      <alignment horizontal="center"/>
      <protection locked="0"/>
    </xf>
    <xf numFmtId="0" fontId="7" fillId="4" borderId="28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/>
      <protection/>
    </xf>
    <xf numFmtId="0" fontId="0" fillId="4" borderId="95" xfId="0" applyFill="1" applyBorder="1" applyAlignment="1" applyProtection="1">
      <alignment horizontal="right"/>
      <protection/>
    </xf>
    <xf numFmtId="0" fontId="0" fillId="4" borderId="0" xfId="0" applyFill="1" applyAlignment="1" applyProtection="1">
      <alignment horizontal="centerContinuous"/>
      <protection/>
    </xf>
    <xf numFmtId="0" fontId="7" fillId="4" borderId="28" xfId="0" applyFont="1" applyFill="1" applyBorder="1" applyAlignment="1" applyProtection="1">
      <alignment horizontal="centerContinuous"/>
      <protection/>
    </xf>
    <xf numFmtId="0" fontId="7" fillId="4" borderId="0" xfId="0" applyFont="1" applyFill="1" applyBorder="1" applyAlignment="1" applyProtection="1">
      <alignment horizontal="centerContinuous"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0" fillId="4" borderId="0" xfId="0" applyFill="1" applyBorder="1" applyAlignment="1" applyProtection="1">
      <alignment vertical="top"/>
      <protection/>
    </xf>
    <xf numFmtId="0" fontId="0" fillId="4" borderId="96" xfId="0" applyNumberFormat="1" applyFont="1" applyFill="1" applyBorder="1" applyAlignment="1" applyProtection="1">
      <alignment horizontal="center"/>
      <protection/>
    </xf>
    <xf numFmtId="0" fontId="0" fillId="4" borderId="28" xfId="0" applyFont="1" applyFill="1" applyBorder="1" applyAlignment="1" applyProtection="1">
      <alignment horizontal="centerContinuous"/>
      <protection/>
    </xf>
    <xf numFmtId="0" fontId="0" fillId="4" borderId="28" xfId="0" applyFill="1" applyBorder="1" applyAlignment="1" applyProtection="1">
      <alignment horizontal="centerContinuous"/>
      <protection/>
    </xf>
    <xf numFmtId="0" fontId="4" fillId="0" borderId="0" xfId="57" applyProtection="1">
      <alignment/>
      <protection locked="0"/>
    </xf>
    <xf numFmtId="0" fontId="1" fillId="0" borderId="0" xfId="57" applyFont="1" applyAlignment="1" applyProtection="1">
      <alignment horizontal="right"/>
      <protection locked="0"/>
    </xf>
    <xf numFmtId="0" fontId="4" fillId="0" borderId="54" xfId="57" applyBorder="1" applyProtection="1">
      <alignment/>
      <protection locked="0"/>
    </xf>
    <xf numFmtId="0" fontId="4" fillId="0" borderId="0" xfId="57" applyBorder="1" applyProtection="1">
      <alignment/>
      <protection locked="0"/>
    </xf>
    <xf numFmtId="0" fontId="1" fillId="0" borderId="0" xfId="57" applyFont="1" applyAlignment="1" applyProtection="1">
      <alignment horizontal="center"/>
      <protection locked="0"/>
    </xf>
    <xf numFmtId="0" fontId="4" fillId="0" borderId="0" xfId="57" applyProtection="1" quotePrefix="1">
      <alignment/>
      <protection locked="0"/>
    </xf>
    <xf numFmtId="0" fontId="4" fillId="0" borderId="0" xfId="57" applyFont="1" applyAlignment="1" applyProtection="1">
      <alignment horizontal="right"/>
      <protection locked="0"/>
    </xf>
    <xf numFmtId="0" fontId="1" fillId="0" borderId="97" xfId="57" applyFont="1" applyBorder="1" applyAlignment="1" applyProtection="1">
      <alignment horizontal="centerContinuous"/>
      <protection locked="0"/>
    </xf>
    <xf numFmtId="0" fontId="4" fillId="0" borderId="98" xfId="57" applyBorder="1" applyAlignment="1" applyProtection="1">
      <alignment horizontal="centerContinuous"/>
      <protection locked="0"/>
    </xf>
    <xf numFmtId="0" fontId="1" fillId="0" borderId="99" xfId="57" applyFont="1" applyBorder="1" applyAlignment="1" applyProtection="1">
      <alignment horizontal="center"/>
      <protection locked="0"/>
    </xf>
    <xf numFmtId="0" fontId="1" fillId="0" borderId="100" xfId="57" applyFont="1" applyBorder="1" applyAlignment="1" applyProtection="1">
      <alignment horizontal="center"/>
      <protection locked="0"/>
    </xf>
    <xf numFmtId="0" fontId="1" fillId="0" borderId="97" xfId="57" applyFont="1" applyBorder="1" applyAlignment="1" applyProtection="1">
      <alignment horizontal="center"/>
      <protection locked="0"/>
    </xf>
    <xf numFmtId="0" fontId="1" fillId="0" borderId="101" xfId="57" applyFont="1" applyBorder="1" applyAlignment="1" applyProtection="1">
      <alignment horizontal="center"/>
      <protection locked="0"/>
    </xf>
    <xf numFmtId="196" fontId="4" fillId="0" borderId="102" xfId="57" applyNumberFormat="1" applyBorder="1" applyAlignment="1" applyProtection="1">
      <alignment horizontal="center"/>
      <protection locked="0"/>
    </xf>
    <xf numFmtId="49" fontId="4" fillId="0" borderId="103" xfId="57" applyNumberFormat="1" applyBorder="1" applyAlignment="1" applyProtection="1">
      <alignment horizontal="center"/>
      <protection locked="0"/>
    </xf>
    <xf numFmtId="0" fontId="4" fillId="0" borderId="103" xfId="57" applyBorder="1" applyAlignment="1" applyProtection="1">
      <alignment horizontal="center"/>
      <protection locked="0"/>
    </xf>
    <xf numFmtId="0" fontId="4" fillId="0" borderId="104" xfId="57" applyBorder="1" applyAlignment="1" applyProtection="1">
      <alignment horizontal="center"/>
      <protection locked="0"/>
    </xf>
    <xf numFmtId="0" fontId="4" fillId="0" borderId="105" xfId="57" applyBorder="1" applyAlignment="1" applyProtection="1">
      <alignment horizontal="center"/>
      <protection/>
    </xf>
    <xf numFmtId="196" fontId="4" fillId="0" borderId="106" xfId="57" applyNumberFormat="1" applyBorder="1" applyAlignment="1" applyProtection="1">
      <alignment horizontal="center"/>
      <protection locked="0"/>
    </xf>
    <xf numFmtId="49" fontId="4" fillId="0" borderId="45" xfId="57" applyNumberFormat="1" applyBorder="1" applyAlignment="1" applyProtection="1">
      <alignment horizontal="center"/>
      <protection locked="0"/>
    </xf>
    <xf numFmtId="0" fontId="4" fillId="0" borderId="45" xfId="57" applyBorder="1" applyAlignment="1" applyProtection="1">
      <alignment horizontal="center"/>
      <protection locked="0"/>
    </xf>
    <xf numFmtId="0" fontId="4" fillId="0" borderId="107" xfId="57" applyBorder="1" applyAlignment="1" applyProtection="1">
      <alignment horizontal="center"/>
      <protection locked="0"/>
    </xf>
    <xf numFmtId="0" fontId="4" fillId="0" borderId="108" xfId="57" applyBorder="1" applyAlignment="1" applyProtection="1">
      <alignment horizontal="center"/>
      <protection/>
    </xf>
    <xf numFmtId="196" fontId="4" fillId="0" borderId="109" xfId="57" applyNumberFormat="1" applyBorder="1" applyAlignment="1" applyProtection="1">
      <alignment horizontal="center"/>
      <protection locked="0"/>
    </xf>
    <xf numFmtId="49" fontId="4" fillId="0" borderId="57" xfId="57" applyNumberFormat="1" applyBorder="1" applyAlignment="1" applyProtection="1">
      <alignment horizontal="center"/>
      <protection locked="0"/>
    </xf>
    <xf numFmtId="0" fontId="4" fillId="0" borderId="57" xfId="57" applyBorder="1" applyAlignment="1" applyProtection="1">
      <alignment horizontal="center"/>
      <protection locked="0"/>
    </xf>
    <xf numFmtId="0" fontId="4" fillId="0" borderId="56" xfId="57" applyBorder="1" applyAlignment="1" applyProtection="1">
      <alignment horizontal="center"/>
      <protection locked="0"/>
    </xf>
    <xf numFmtId="196" fontId="4" fillId="0" borderId="110" xfId="57" applyNumberFormat="1" applyBorder="1" applyAlignment="1" applyProtection="1">
      <alignment horizontal="center"/>
      <protection locked="0"/>
    </xf>
    <xf numFmtId="49" fontId="4" fillId="0" borderId="111" xfId="57" applyNumberFormat="1" applyBorder="1" applyAlignment="1" applyProtection="1">
      <alignment horizontal="center"/>
      <protection locked="0"/>
    </xf>
    <xf numFmtId="0" fontId="4" fillId="0" borderId="111" xfId="57" applyBorder="1" applyAlignment="1" applyProtection="1">
      <alignment horizontal="center"/>
      <protection locked="0"/>
    </xf>
    <xf numFmtId="0" fontId="4" fillId="0" borderId="112" xfId="57" applyBorder="1" applyAlignment="1" applyProtection="1">
      <alignment horizontal="center"/>
      <protection locked="0"/>
    </xf>
    <xf numFmtId="0" fontId="4" fillId="0" borderId="113" xfId="57" applyBorder="1" applyAlignment="1" applyProtection="1">
      <alignment horizontal="center"/>
      <protection/>
    </xf>
    <xf numFmtId="0" fontId="4" fillId="0" borderId="114" xfId="57" applyBorder="1" applyAlignment="1" applyProtection="1">
      <alignment horizontal="center"/>
      <protection/>
    </xf>
    <xf numFmtId="0" fontId="4" fillId="0" borderId="115" xfId="57" applyBorder="1" applyAlignment="1" applyProtection="1">
      <alignment horizontal="center"/>
      <protection/>
    </xf>
    <xf numFmtId="0" fontId="4" fillId="0" borderId="116" xfId="57" applyBorder="1" applyAlignment="1" applyProtection="1">
      <alignment horizontal="center"/>
      <protection/>
    </xf>
    <xf numFmtId="0" fontId="4" fillId="0" borderId="0" xfId="57" applyBorder="1" applyAlignment="1" applyProtection="1">
      <alignment horizontal="center"/>
      <protection locked="0"/>
    </xf>
    <xf numFmtId="0" fontId="1" fillId="0" borderId="0" xfId="57" applyFont="1" applyAlignment="1" applyProtection="1">
      <alignment/>
      <protection locked="0"/>
    </xf>
    <xf numFmtId="0" fontId="4" fillId="0" borderId="117" xfId="57" applyBorder="1" applyAlignment="1" applyProtection="1">
      <alignment horizontal="center"/>
      <protection/>
    </xf>
    <xf numFmtId="0" fontId="4" fillId="0" borderId="118" xfId="57" applyBorder="1" applyAlignment="1" applyProtection="1">
      <alignment horizontal="center"/>
      <protection/>
    </xf>
    <xf numFmtId="0" fontId="4" fillId="0" borderId="119" xfId="57" applyBorder="1" applyAlignment="1" applyProtection="1">
      <alignment horizontal="center"/>
      <protection/>
    </xf>
    <xf numFmtId="0" fontId="4" fillId="0" borderId="120" xfId="57" applyBorder="1" applyAlignment="1" applyProtection="1">
      <alignment horizontal="left"/>
      <protection locked="0"/>
    </xf>
    <xf numFmtId="0" fontId="4" fillId="0" borderId="121" xfId="57" applyBorder="1" applyProtection="1">
      <alignment/>
      <protection locked="0"/>
    </xf>
    <xf numFmtId="0" fontId="4" fillId="0" borderId="121" xfId="57" applyBorder="1" applyAlignment="1" applyProtection="1">
      <alignment horizontal="left"/>
      <protection locked="0"/>
    </xf>
    <xf numFmtId="0" fontId="4" fillId="0" borderId="122" xfId="57" applyBorder="1" applyProtection="1">
      <alignment/>
      <protection locked="0"/>
    </xf>
    <xf numFmtId="0" fontId="4" fillId="0" borderId="55" xfId="57" applyBorder="1" applyAlignment="1" applyProtection="1">
      <alignment horizontal="left"/>
      <protection locked="0"/>
    </xf>
    <xf numFmtId="0" fontId="4" fillId="0" borderId="43" xfId="57" applyBorder="1" applyProtection="1">
      <alignment/>
      <protection locked="0"/>
    </xf>
    <xf numFmtId="0" fontId="4" fillId="0" borderId="43" xfId="57" applyBorder="1" applyAlignment="1" applyProtection="1">
      <alignment horizontal="left"/>
      <protection locked="0"/>
    </xf>
    <xf numFmtId="0" fontId="4" fillId="0" borderId="123" xfId="57" applyBorder="1" applyProtection="1">
      <alignment/>
      <protection locked="0"/>
    </xf>
    <xf numFmtId="0" fontId="1" fillId="0" borderId="124" xfId="57" applyFont="1" applyBorder="1" applyAlignment="1" applyProtection="1">
      <alignment horizontal="center"/>
      <protection locked="0"/>
    </xf>
    <xf numFmtId="1" fontId="4" fillId="0" borderId="117" xfId="57" applyNumberFormat="1" applyBorder="1" applyAlignment="1" applyProtection="1">
      <alignment horizontal="center"/>
      <protection/>
    </xf>
    <xf numFmtId="1" fontId="4" fillId="0" borderId="118" xfId="57" applyNumberFormat="1" applyBorder="1" applyAlignment="1" applyProtection="1">
      <alignment horizontal="center"/>
      <protection/>
    </xf>
    <xf numFmtId="1" fontId="4" fillId="0" borderId="119" xfId="57" applyNumberFormat="1" applyBorder="1" applyAlignment="1" applyProtection="1">
      <alignment horizontal="center"/>
      <protection/>
    </xf>
    <xf numFmtId="1" fontId="4" fillId="0" borderId="0" xfId="57" applyNumberFormat="1" applyBorder="1" applyAlignment="1" applyProtection="1">
      <alignment horizontal="center"/>
      <protection locked="0"/>
    </xf>
    <xf numFmtId="0" fontId="4" fillId="0" borderId="51" xfId="57" applyBorder="1" applyAlignment="1" applyProtection="1">
      <alignment horizontal="left"/>
      <protection locked="0"/>
    </xf>
    <xf numFmtId="0" fontId="4" fillId="0" borderId="54" xfId="57" applyBorder="1" applyAlignment="1" applyProtection="1">
      <alignment horizontal="left"/>
      <protection locked="0"/>
    </xf>
    <xf numFmtId="0" fontId="4" fillId="0" borderId="68" xfId="57" applyBorder="1" applyProtection="1">
      <alignment/>
      <protection locked="0"/>
    </xf>
    <xf numFmtId="1" fontId="1" fillId="0" borderId="125" xfId="57" applyNumberFormat="1" applyFont="1" applyBorder="1" applyAlignment="1" applyProtection="1">
      <alignment horizontal="center"/>
      <protection locked="0"/>
    </xf>
    <xf numFmtId="2" fontId="4" fillId="0" borderId="126" xfId="57" applyNumberFormat="1" applyBorder="1" applyAlignment="1" applyProtection="1">
      <alignment horizontal="center"/>
      <protection/>
    </xf>
    <xf numFmtId="2" fontId="4" fillId="0" borderId="127" xfId="57" applyNumberFormat="1" applyBorder="1" applyAlignment="1" applyProtection="1">
      <alignment horizontal="center"/>
      <protection/>
    </xf>
    <xf numFmtId="2" fontId="4" fillId="0" borderId="128" xfId="57" applyNumberFormat="1" applyBorder="1" applyAlignment="1" applyProtection="1">
      <alignment horizontal="center"/>
      <protection/>
    </xf>
    <xf numFmtId="2" fontId="4" fillId="0" borderId="0" xfId="57" applyNumberFormat="1" applyBorder="1" applyAlignment="1" applyProtection="1">
      <alignment horizontal="center"/>
      <protection locked="0"/>
    </xf>
    <xf numFmtId="0" fontId="32" fillId="0" borderId="0" xfId="57" applyFont="1" applyProtection="1">
      <alignment/>
      <protection locked="0"/>
    </xf>
    <xf numFmtId="0" fontId="4" fillId="0" borderId="54" xfId="57" applyBorder="1" applyAlignment="1" applyProtection="1">
      <alignment/>
      <protection locked="0"/>
    </xf>
    <xf numFmtId="0" fontId="0" fillId="20" borderId="28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29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lood Pressure Record Lorraine Cliff" xfId="57"/>
    <cellStyle name="Normal_Calorie" xfId="58"/>
    <cellStyle name="Normal_Cone Fa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ont>
        <color indexed="26"/>
      </font>
    </dxf>
    <dxf>
      <fill>
        <patternFill>
          <bgColor indexed="26"/>
        </patternFill>
      </fill>
      <border>
        <bottom/>
      </border>
    </dxf>
    <dxf>
      <fill>
        <patternFill>
          <bgColor indexed="26"/>
        </patternFill>
      </fill>
      <border>
        <bottom/>
      </border>
    </dxf>
    <dxf>
      <fill>
        <patternFill patternType="lightTrellis"/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75"/>
          <c:w val="0.95225"/>
          <c:h val="0.944"/>
        </c:manualLayout>
      </c:layout>
      <c:lineChart>
        <c:grouping val="standard"/>
        <c:varyColors val="0"/>
        <c:ser>
          <c:idx val="2"/>
          <c:order val="0"/>
          <c:tx>
            <c:strRef>
              <c:f>'Blood Pressure'!$F$4</c:f>
              <c:strCache>
                <c:ptCount val="1"/>
                <c:pt idx="0">
                  <c:v>Pulse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'Blood Pressure'!$F$5:$F$54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'Blood Pressure'!$D$4</c:f>
              <c:strCache>
                <c:ptCount val="1"/>
                <c:pt idx="0">
                  <c:v>Systolic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Pressure'!$D$5:$D$54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'Blood Pressure'!$E$4</c:f>
              <c:strCache>
                <c:ptCount val="1"/>
                <c:pt idx="0">
                  <c:v>Diastolic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Pressure'!$E$5:$E$54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0206434"/>
        <c:axId val="49204723"/>
      </c:lineChart>
      <c:catAx>
        <c:axId val="50206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4723"/>
        <c:crosses val="autoZero"/>
        <c:auto val="1"/>
        <c:lblOffset val="100"/>
        <c:tickLblSkip val="5"/>
        <c:noMultiLvlLbl val="0"/>
      </c:catAx>
      <c:valAx>
        <c:axId val="49204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06434"/>
        <c:crossesAt val="1"/>
        <c:crossBetween val="between"/>
        <c:dispUnits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69"/>
          <c:w val="0.543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15</xdr:col>
      <xdr:colOff>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3867150" y="676275"/>
        <a:ext cx="40671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38766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7300" y="29527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4</xdr:col>
      <xdr:colOff>561975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2952750"/>
          <a:ext cx="19716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200025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7300" y="3724275"/>
          <a:ext cx="190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66675</xdr:rowOff>
    </xdr:from>
    <xdr:to>
      <xdr:col>2</xdr:col>
      <xdr:colOff>733425</xdr:colOff>
      <xdr:row>50</xdr:row>
      <xdr:rowOff>85725</xdr:rowOff>
    </xdr:to>
    <xdr:grpSp>
      <xdr:nvGrpSpPr>
        <xdr:cNvPr id="4" name="Group 20"/>
        <xdr:cNvGrpSpPr>
          <a:grpSpLocks/>
        </xdr:cNvGrpSpPr>
      </xdr:nvGrpSpPr>
      <xdr:grpSpPr>
        <a:xfrm>
          <a:off x="190500" y="82010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21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22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3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4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5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6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7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8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66675</xdr:rowOff>
    </xdr:from>
    <xdr:to>
      <xdr:col>2</xdr:col>
      <xdr:colOff>723900</xdr:colOff>
      <xdr:row>51</xdr:row>
      <xdr:rowOff>85725</xdr:rowOff>
    </xdr:to>
    <xdr:grpSp>
      <xdr:nvGrpSpPr>
        <xdr:cNvPr id="4" name="Group 34"/>
        <xdr:cNvGrpSpPr>
          <a:grpSpLocks/>
        </xdr:cNvGrpSpPr>
      </xdr:nvGrpSpPr>
      <xdr:grpSpPr>
        <a:xfrm>
          <a:off x="180975" y="84296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18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19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0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1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6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7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5</xdr:col>
      <xdr:colOff>0</xdr:colOff>
      <xdr:row>19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2085975" y="1943100"/>
          <a:ext cx="1762125" cy="1714500"/>
          <a:chOff x="219" y="204"/>
          <a:chExt cx="185" cy="1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314" y="204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9" y="29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19" y="204"/>
            <a:ext cx="185" cy="1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13</xdr:row>
      <xdr:rowOff>57150</xdr:rowOff>
    </xdr:from>
    <xdr:to>
      <xdr:col>10</xdr:col>
      <xdr:colOff>619125</xdr:colOff>
      <xdr:row>25</xdr:row>
      <xdr:rowOff>133350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552700"/>
          <a:ext cx="5486400" cy="2019300"/>
        </a:xfrm>
        <a:prstGeom prst="rect">
          <a:avLst/>
        </a:prstGeom>
        <a:solidFill>
          <a:srgbClr val="FFFFC0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10</xdr:row>
      <xdr:rowOff>66675</xdr:rowOff>
    </xdr:from>
    <xdr:to>
      <xdr:col>8</xdr:col>
      <xdr:colOff>495300</xdr:colOff>
      <xdr:row>19</xdr:row>
      <xdr:rowOff>66675</xdr:rowOff>
    </xdr:to>
    <xdr:sp>
      <xdr:nvSpPr>
        <xdr:cNvPr id="1" name="Oval 1"/>
        <xdr:cNvSpPr>
          <a:spLocks/>
        </xdr:cNvSpPr>
      </xdr:nvSpPr>
      <xdr:spPr>
        <a:xfrm>
          <a:off x="4800600" y="2085975"/>
          <a:ext cx="1800225" cy="1714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28575</xdr:rowOff>
    </xdr:from>
    <xdr:to>
      <xdr:col>8</xdr:col>
      <xdr:colOff>314325</xdr:colOff>
      <xdr:row>15</xdr:row>
      <xdr:rowOff>180975</xdr:rowOff>
    </xdr:to>
    <xdr:sp>
      <xdr:nvSpPr>
        <xdr:cNvPr id="2" name="Line 4"/>
        <xdr:cNvSpPr>
          <a:spLocks/>
        </xdr:cNvSpPr>
      </xdr:nvSpPr>
      <xdr:spPr>
        <a:xfrm flipV="1">
          <a:off x="56959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8</xdr:col>
      <xdr:colOff>304800</xdr:colOff>
      <xdr:row>12</xdr:row>
      <xdr:rowOff>28575</xdr:rowOff>
    </xdr:to>
    <xdr:sp>
      <xdr:nvSpPr>
        <xdr:cNvPr id="3" name="Line 9"/>
        <xdr:cNvSpPr>
          <a:spLocks/>
        </xdr:cNvSpPr>
      </xdr:nvSpPr>
      <xdr:spPr>
        <a:xfrm>
          <a:off x="4972050" y="2428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7</xdr:col>
      <xdr:colOff>428625</xdr:colOff>
      <xdr:row>15</xdr:row>
      <xdr:rowOff>180975</xdr:rowOff>
    </xdr:to>
    <xdr:sp>
      <xdr:nvSpPr>
        <xdr:cNvPr id="4" name="Line 8"/>
        <xdr:cNvSpPr>
          <a:spLocks/>
        </xdr:cNvSpPr>
      </xdr:nvSpPr>
      <xdr:spPr>
        <a:xfrm flipH="1" flipV="1">
          <a:off x="49720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14</xdr:row>
      <xdr:rowOff>114300</xdr:rowOff>
    </xdr:from>
    <xdr:to>
      <xdr:col>7</xdr:col>
      <xdr:colOff>685800</xdr:colOff>
      <xdr:row>14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5762625" y="2895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14</xdr:row>
      <xdr:rowOff>114300</xdr:rowOff>
    </xdr:from>
    <xdr:to>
      <xdr:col>7</xdr:col>
      <xdr:colOff>342900</xdr:colOff>
      <xdr:row>14</xdr:row>
      <xdr:rowOff>114300</xdr:rowOff>
    </xdr:to>
    <xdr:sp>
      <xdr:nvSpPr>
        <xdr:cNvPr id="6" name="Line 12"/>
        <xdr:cNvSpPr>
          <a:spLocks/>
        </xdr:cNvSpPr>
      </xdr:nvSpPr>
      <xdr:spPr>
        <a:xfrm flipH="1" flipV="1">
          <a:off x="5448300" y="2895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142875</xdr:rowOff>
    </xdr:from>
    <xdr:to>
      <xdr:col>8</xdr:col>
      <xdr:colOff>390525</xdr:colOff>
      <xdr:row>14</xdr:row>
      <xdr:rowOff>38100</xdr:rowOff>
    </xdr:to>
    <xdr:sp>
      <xdr:nvSpPr>
        <xdr:cNvPr id="7" name="Line 13"/>
        <xdr:cNvSpPr>
          <a:spLocks/>
        </xdr:cNvSpPr>
      </xdr:nvSpPr>
      <xdr:spPr>
        <a:xfrm flipV="1">
          <a:off x="6219825" y="25431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9525</xdr:rowOff>
    </xdr:from>
    <xdr:to>
      <xdr:col>7</xdr:col>
      <xdr:colOff>809625</xdr:colOff>
      <xdr:row>16</xdr:row>
      <xdr:rowOff>85725</xdr:rowOff>
    </xdr:to>
    <xdr:sp>
      <xdr:nvSpPr>
        <xdr:cNvPr id="8" name="Line 14"/>
        <xdr:cNvSpPr>
          <a:spLocks/>
        </xdr:cNvSpPr>
      </xdr:nvSpPr>
      <xdr:spPr>
        <a:xfrm flipH="1">
          <a:off x="5819775" y="2981325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8</xdr:row>
      <xdr:rowOff>171450</xdr:rowOff>
    </xdr:from>
    <xdr:to>
      <xdr:col>6</xdr:col>
      <xdr:colOff>542925</xdr:colOff>
      <xdr:row>11</xdr:row>
      <xdr:rowOff>171450</xdr:rowOff>
    </xdr:to>
    <xdr:sp>
      <xdr:nvSpPr>
        <xdr:cNvPr id="9" name="Line 15"/>
        <xdr:cNvSpPr>
          <a:spLocks/>
        </xdr:cNvSpPr>
      </xdr:nvSpPr>
      <xdr:spPr>
        <a:xfrm flipV="1">
          <a:off x="4972050" y="1809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180975</xdr:rowOff>
    </xdr:from>
    <xdr:to>
      <xdr:col>8</xdr:col>
      <xdr:colOff>323850</xdr:colOff>
      <xdr:row>11</xdr:row>
      <xdr:rowOff>152400</xdr:rowOff>
    </xdr:to>
    <xdr:sp>
      <xdr:nvSpPr>
        <xdr:cNvPr id="10" name="Line 16"/>
        <xdr:cNvSpPr>
          <a:spLocks/>
        </xdr:cNvSpPr>
      </xdr:nvSpPr>
      <xdr:spPr>
        <a:xfrm flipV="1">
          <a:off x="6429375" y="18192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114300</xdr:rowOff>
    </xdr:from>
    <xdr:to>
      <xdr:col>8</xdr:col>
      <xdr:colOff>323850</xdr:colOff>
      <xdr:row>9</xdr:row>
      <xdr:rowOff>114300</xdr:rowOff>
    </xdr:to>
    <xdr:sp>
      <xdr:nvSpPr>
        <xdr:cNvPr id="11" name="Line 17"/>
        <xdr:cNvSpPr>
          <a:spLocks/>
        </xdr:cNvSpPr>
      </xdr:nvSpPr>
      <xdr:spPr>
        <a:xfrm>
          <a:off x="5781675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9</xdr:row>
      <xdr:rowOff>114300</xdr:rowOff>
    </xdr:from>
    <xdr:to>
      <xdr:col>7</xdr:col>
      <xdr:colOff>352425</xdr:colOff>
      <xdr:row>9</xdr:row>
      <xdr:rowOff>114300</xdr:rowOff>
    </xdr:to>
    <xdr:sp>
      <xdr:nvSpPr>
        <xdr:cNvPr id="12" name="Line 18"/>
        <xdr:cNvSpPr>
          <a:spLocks/>
        </xdr:cNvSpPr>
      </xdr:nvSpPr>
      <xdr:spPr>
        <a:xfrm flipH="1" flipV="1">
          <a:off x="4972050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10</xdr:row>
      <xdr:rowOff>133350</xdr:rowOff>
    </xdr:from>
    <xdr:to>
      <xdr:col>7</xdr:col>
      <xdr:colOff>523875</xdr:colOff>
      <xdr:row>11</xdr:row>
      <xdr:rowOff>123825</xdr:rowOff>
    </xdr:to>
    <xdr:sp>
      <xdr:nvSpPr>
        <xdr:cNvPr id="13" name="Text 19"/>
        <xdr:cNvSpPr txBox="1">
          <a:spLocks noChangeArrowheads="1"/>
        </xdr:cNvSpPr>
      </xdr:nvSpPr>
      <xdr:spPr>
        <a:xfrm>
          <a:off x="5629275" y="2152650"/>
          <a:ext cx="161925" cy="1809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438150</xdr:colOff>
      <xdr:row>11</xdr:row>
      <xdr:rowOff>123825</xdr:rowOff>
    </xdr:from>
    <xdr:to>
      <xdr:col>7</xdr:col>
      <xdr:colOff>438150</xdr:colOff>
      <xdr:row>12</xdr:row>
      <xdr:rowOff>28575</xdr:rowOff>
    </xdr:to>
    <xdr:sp>
      <xdr:nvSpPr>
        <xdr:cNvPr id="14" name="Line 20"/>
        <xdr:cNvSpPr>
          <a:spLocks/>
        </xdr:cNvSpPr>
      </xdr:nvSpPr>
      <xdr:spPr>
        <a:xfrm>
          <a:off x="5705475" y="2333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10</xdr:row>
      <xdr:rowOff>66675</xdr:rowOff>
    </xdr:from>
    <xdr:to>
      <xdr:col>7</xdr:col>
      <xdr:colOff>438150</xdr:colOff>
      <xdr:row>10</xdr:row>
      <xdr:rowOff>152400</xdr:rowOff>
    </xdr:to>
    <xdr:sp>
      <xdr:nvSpPr>
        <xdr:cNvPr id="15" name="Line 21"/>
        <xdr:cNvSpPr>
          <a:spLocks/>
        </xdr:cNvSpPr>
      </xdr:nvSpPr>
      <xdr:spPr>
        <a:xfrm flipV="1">
          <a:off x="5705475" y="20859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10</xdr:row>
      <xdr:rowOff>38100</xdr:rowOff>
    </xdr:from>
    <xdr:to>
      <xdr:col>6</xdr:col>
      <xdr:colOff>361950</xdr:colOff>
      <xdr:row>16</xdr:row>
      <xdr:rowOff>180975</xdr:rowOff>
    </xdr:to>
    <xdr:sp>
      <xdr:nvSpPr>
        <xdr:cNvPr id="1" name="Oval 3"/>
        <xdr:cNvSpPr>
          <a:spLocks/>
        </xdr:cNvSpPr>
      </xdr:nvSpPr>
      <xdr:spPr>
        <a:xfrm>
          <a:off x="4533900" y="2019300"/>
          <a:ext cx="1371600" cy="1285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4733925" y="2209800"/>
          <a:ext cx="962025" cy="904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3" name="Oval 2"/>
        <xdr:cNvSpPr>
          <a:spLocks/>
        </xdr:cNvSpPr>
      </xdr:nvSpPr>
      <xdr:spPr>
        <a:xfrm>
          <a:off x="4733925" y="2209800"/>
          <a:ext cx="962025" cy="904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13</xdr:row>
      <xdr:rowOff>0</xdr:rowOff>
    </xdr:from>
    <xdr:to>
      <xdr:col>5</xdr:col>
      <xdr:colOff>638175</xdr:colOff>
      <xdr:row>14</xdr:row>
      <xdr:rowOff>28575</xdr:rowOff>
    </xdr:to>
    <xdr:sp>
      <xdr:nvSpPr>
        <xdr:cNvPr id="4" name="Text 4"/>
        <xdr:cNvSpPr txBox="1">
          <a:spLocks noChangeArrowheads="1"/>
        </xdr:cNvSpPr>
      </xdr:nvSpPr>
      <xdr:spPr>
        <a:xfrm>
          <a:off x="5095875" y="2552700"/>
          <a:ext cx="247650" cy="219075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</a:t>
          </a:r>
        </a:p>
      </xdr:txBody>
    </xdr:sp>
    <xdr:clientData/>
  </xdr:twoCellAnchor>
  <xdr:twoCellAnchor>
    <xdr:from>
      <xdr:col>5</xdr:col>
      <xdr:colOff>28575</xdr:colOff>
      <xdr:row>13</xdr:row>
      <xdr:rowOff>104775</xdr:rowOff>
    </xdr:from>
    <xdr:to>
      <xdr:col>5</xdr:col>
      <xdr:colOff>381000</xdr:colOff>
      <xdr:row>13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4733925" y="2657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305425" y="2657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9525</xdr:rowOff>
    </xdr:from>
    <xdr:to>
      <xdr:col>6</xdr:col>
      <xdr:colOff>571500</xdr:colOff>
      <xdr:row>17</xdr:row>
      <xdr:rowOff>47625</xdr:rowOff>
    </xdr:to>
    <xdr:sp>
      <xdr:nvSpPr>
        <xdr:cNvPr id="7" name="Text 7"/>
        <xdr:cNvSpPr txBox="1">
          <a:spLocks noChangeArrowheads="1"/>
        </xdr:cNvSpPr>
      </xdr:nvSpPr>
      <xdr:spPr>
        <a:xfrm>
          <a:off x="5705475" y="3133725"/>
          <a:ext cx="409575" cy="2286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</a:t>
          </a:r>
        </a:p>
      </xdr:txBody>
    </xdr:sp>
    <xdr:clientData/>
  </xdr:twoCellAnchor>
  <xdr:twoCellAnchor>
    <xdr:from>
      <xdr:col>6</xdr:col>
      <xdr:colOff>323850</xdr:colOff>
      <xdr:row>12</xdr:row>
      <xdr:rowOff>19050</xdr:rowOff>
    </xdr:from>
    <xdr:to>
      <xdr:col>6</xdr:col>
      <xdr:colOff>800100</xdr:colOff>
      <xdr:row>14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867400" y="2381250"/>
          <a:ext cx="476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16</xdr:row>
      <xdr:rowOff>123825</xdr:rowOff>
    </xdr:from>
    <xdr:to>
      <xdr:col>5</xdr:col>
      <xdr:colOff>619125</xdr:colOff>
      <xdr:row>19</xdr:row>
      <xdr:rowOff>0</xdr:rowOff>
    </xdr:to>
    <xdr:sp>
      <xdr:nvSpPr>
        <xdr:cNvPr id="9" name="Line 10"/>
        <xdr:cNvSpPr>
          <a:spLocks/>
        </xdr:cNvSpPr>
      </xdr:nvSpPr>
      <xdr:spPr>
        <a:xfrm>
          <a:off x="4876800" y="3248025"/>
          <a:ext cx="447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28575</xdr:rowOff>
    </xdr:from>
    <xdr:to>
      <xdr:col>6</xdr:col>
      <xdr:colOff>104775</xdr:colOff>
      <xdr:row>18</xdr:row>
      <xdr:rowOff>171450</xdr:rowOff>
    </xdr:to>
    <xdr:sp>
      <xdr:nvSpPr>
        <xdr:cNvPr id="10" name="Line 11"/>
        <xdr:cNvSpPr>
          <a:spLocks/>
        </xdr:cNvSpPr>
      </xdr:nvSpPr>
      <xdr:spPr>
        <a:xfrm flipH="1">
          <a:off x="5314950" y="3343275"/>
          <a:ext cx="333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9525</xdr:rowOff>
    </xdr:from>
    <xdr:to>
      <xdr:col>6</xdr:col>
      <xdr:colOff>685800</xdr:colOff>
      <xdr:row>15</xdr:row>
      <xdr:rowOff>161925</xdr:rowOff>
    </xdr:to>
    <xdr:sp>
      <xdr:nvSpPr>
        <xdr:cNvPr id="11" name="Line 12"/>
        <xdr:cNvSpPr>
          <a:spLocks/>
        </xdr:cNvSpPr>
      </xdr:nvSpPr>
      <xdr:spPr>
        <a:xfrm flipV="1">
          <a:off x="5886450" y="2752725"/>
          <a:ext cx="342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K20"/>
  <sheetViews>
    <sheetView showGridLines="0" showRowColHeaders="0" zoomScale="75" zoomScaleNormal="75" zoomScalePageLayoutView="0" workbookViewId="0" topLeftCell="A1">
      <selection activeCell="L21" sqref="L21"/>
    </sheetView>
  </sheetViews>
  <sheetFormatPr defaultColWidth="9.77734375" defaultRowHeight="15"/>
  <cols>
    <col min="1" max="1" width="1.77734375" style="0" customWidth="1"/>
    <col min="2" max="2" width="6.77734375" style="0" customWidth="1"/>
    <col min="3" max="3" width="10.77734375" style="0" customWidth="1"/>
    <col min="4" max="4" width="6.77734375" style="0" customWidth="1"/>
    <col min="5" max="5" width="10.77734375" style="0" customWidth="1"/>
    <col min="6" max="6" width="6.77734375" style="0" customWidth="1"/>
    <col min="8" max="8" width="10.77734375" style="0" customWidth="1"/>
    <col min="9" max="9" width="5.77734375" style="0" customWidth="1"/>
    <col min="11" max="11" width="10.77734375" style="0" customWidth="1"/>
  </cols>
  <sheetData>
    <row r="1" spans="2:11" ht="24" thickTop="1">
      <c r="B1" s="33" t="s">
        <v>0</v>
      </c>
      <c r="C1" s="8"/>
      <c r="D1" s="8"/>
      <c r="E1" s="8"/>
      <c r="F1" s="25" t="s">
        <v>1</v>
      </c>
      <c r="G1" s="25"/>
      <c r="H1" s="25"/>
      <c r="I1" s="25"/>
      <c r="J1" s="25"/>
      <c r="K1" s="26"/>
    </row>
    <row r="2" spans="2:11" ht="15">
      <c r="B2" s="34" t="s">
        <v>2</v>
      </c>
      <c r="C2" s="35"/>
      <c r="D2" s="11"/>
      <c r="E2" s="11"/>
      <c r="F2" s="18"/>
      <c r="G2" s="18"/>
      <c r="H2" s="18"/>
      <c r="I2" s="18"/>
      <c r="J2" s="18"/>
      <c r="K2" s="19"/>
    </row>
    <row r="3" spans="2:11" ht="15">
      <c r="B3" s="36" t="s">
        <v>3</v>
      </c>
      <c r="C3" s="37" t="s">
        <v>4</v>
      </c>
      <c r="D3" s="77" t="s">
        <v>3</v>
      </c>
      <c r="E3" s="78" t="s">
        <v>4</v>
      </c>
      <c r="F3" s="18"/>
      <c r="G3" s="38" t="s">
        <v>5</v>
      </c>
      <c r="H3" s="18"/>
      <c r="I3" s="39"/>
      <c r="J3" s="47" t="s">
        <v>6</v>
      </c>
      <c r="K3" s="32"/>
    </row>
    <row r="4" spans="2:11" ht="15">
      <c r="B4" s="14"/>
      <c r="C4" s="76">
        <v>40000</v>
      </c>
      <c r="D4" s="149"/>
      <c r="E4" s="76">
        <v>235</v>
      </c>
      <c r="F4" s="18"/>
      <c r="G4" s="38" t="s">
        <v>7</v>
      </c>
      <c r="H4" s="45">
        <v>1256</v>
      </c>
      <c r="I4" s="39"/>
      <c r="J4" s="47" t="s">
        <v>8</v>
      </c>
      <c r="K4" s="46">
        <v>38979</v>
      </c>
    </row>
    <row r="5" spans="2:11" ht="15">
      <c r="B5" s="14"/>
      <c r="C5" s="76"/>
      <c r="D5" s="149"/>
      <c r="E5" s="76"/>
      <c r="F5" s="18"/>
      <c r="G5" s="18"/>
      <c r="H5" s="18"/>
      <c r="I5" s="39"/>
      <c r="J5" s="31"/>
      <c r="K5" s="32"/>
    </row>
    <row r="6" spans="2:11" ht="15">
      <c r="B6" s="14"/>
      <c r="C6" s="76"/>
      <c r="D6" s="149"/>
      <c r="E6" s="76"/>
      <c r="F6" s="18"/>
      <c r="G6" s="18"/>
      <c r="H6" s="45"/>
      <c r="I6" s="39"/>
      <c r="J6" s="31"/>
      <c r="K6" s="32"/>
    </row>
    <row r="7" spans="2:11" ht="15">
      <c r="B7" s="14"/>
      <c r="C7" s="76"/>
      <c r="D7" s="149"/>
      <c r="E7" s="76"/>
      <c r="F7" s="18"/>
      <c r="G7" s="18"/>
      <c r="H7" s="45"/>
      <c r="I7" s="39"/>
      <c r="J7" s="47" t="s">
        <v>9</v>
      </c>
      <c r="K7" s="32"/>
    </row>
    <row r="8" spans="2:11" ht="15">
      <c r="B8" s="14"/>
      <c r="C8" s="76"/>
      <c r="D8" s="149"/>
      <c r="E8" s="76"/>
      <c r="F8" s="18"/>
      <c r="G8" s="38" t="s">
        <v>10</v>
      </c>
      <c r="H8" s="45"/>
      <c r="I8" s="39"/>
      <c r="J8" s="47" t="s">
        <v>11</v>
      </c>
      <c r="K8" s="46"/>
    </row>
    <row r="9" spans="2:11" ht="15">
      <c r="B9" s="14"/>
      <c r="C9" s="76"/>
      <c r="D9" s="149"/>
      <c r="E9" s="76"/>
      <c r="F9" s="18"/>
      <c r="G9" s="38" t="s">
        <v>12</v>
      </c>
      <c r="H9" s="45"/>
      <c r="I9" s="39"/>
      <c r="J9" s="31"/>
      <c r="K9" s="32"/>
    </row>
    <row r="10" spans="2:11" ht="15">
      <c r="B10" s="14"/>
      <c r="C10" s="76"/>
      <c r="D10" s="149"/>
      <c r="E10" s="76"/>
      <c r="F10" s="18"/>
      <c r="G10" s="18"/>
      <c r="H10" s="45"/>
      <c r="I10" s="39"/>
      <c r="J10" s="31"/>
      <c r="K10" s="32"/>
    </row>
    <row r="11" spans="2:11" ht="15">
      <c r="B11" s="14"/>
      <c r="C11" s="76"/>
      <c r="D11" s="149"/>
      <c r="E11" s="76"/>
      <c r="F11" s="18"/>
      <c r="G11" s="18"/>
      <c r="H11" s="45"/>
      <c r="I11" s="39"/>
      <c r="J11" s="47" t="s">
        <v>13</v>
      </c>
      <c r="K11" s="46"/>
    </row>
    <row r="12" spans="2:11" ht="15">
      <c r="B12" s="14"/>
      <c r="C12" s="76"/>
      <c r="D12" s="149"/>
      <c r="E12" s="76"/>
      <c r="F12" s="18"/>
      <c r="G12" s="18"/>
      <c r="H12" s="18"/>
      <c r="I12" s="39"/>
      <c r="J12" s="31"/>
      <c r="K12" s="32"/>
    </row>
    <row r="13" spans="2:11" ht="15">
      <c r="B13" s="14"/>
      <c r="C13" s="76"/>
      <c r="D13" s="149"/>
      <c r="E13" s="76"/>
      <c r="F13" s="18"/>
      <c r="G13" s="38" t="s">
        <v>14</v>
      </c>
      <c r="H13" s="18"/>
      <c r="I13" s="39"/>
      <c r="J13" s="31"/>
      <c r="K13" s="32"/>
    </row>
    <row r="14" spans="2:11" ht="15">
      <c r="B14" s="14"/>
      <c r="C14" s="76"/>
      <c r="D14" s="149"/>
      <c r="E14" s="76"/>
      <c r="F14" s="18"/>
      <c r="G14" s="38" t="s">
        <v>12</v>
      </c>
      <c r="H14" s="28">
        <f>SUM(H6:H11)</f>
        <v>0</v>
      </c>
      <c r="I14" s="39"/>
      <c r="J14" s="31"/>
      <c r="K14" s="32"/>
    </row>
    <row r="15" spans="2:11" ht="15">
      <c r="B15" s="14"/>
      <c r="C15" s="76"/>
      <c r="D15" s="149"/>
      <c r="E15" s="76"/>
      <c r="F15" s="18"/>
      <c r="G15" s="18"/>
      <c r="H15" s="18"/>
      <c r="I15" s="39"/>
      <c r="J15" s="31"/>
      <c r="K15" s="32"/>
    </row>
    <row r="16" spans="2:11" ht="15">
      <c r="B16" s="14"/>
      <c r="C16" s="76"/>
      <c r="D16" s="149"/>
      <c r="E16" s="76"/>
      <c r="F16" s="18"/>
      <c r="G16" s="38" t="s">
        <v>15</v>
      </c>
      <c r="H16" s="28">
        <f>SUM(H4+H14-E20)</f>
        <v>-38979</v>
      </c>
      <c r="I16" s="39"/>
      <c r="J16" s="47" t="s">
        <v>16</v>
      </c>
      <c r="K16" s="48">
        <f>SUM(K4-K8+K11)</f>
        <v>38979</v>
      </c>
    </row>
    <row r="17" spans="2:11" ht="15">
      <c r="B17" s="14"/>
      <c r="C17" s="76"/>
      <c r="D17" s="149"/>
      <c r="E17" s="76"/>
      <c r="F17" s="18"/>
      <c r="G17" s="18"/>
      <c r="H17" s="18"/>
      <c r="I17" s="39"/>
      <c r="J17" s="31"/>
      <c r="K17" s="32"/>
    </row>
    <row r="18" spans="2:11" ht="15.75">
      <c r="B18" s="14"/>
      <c r="C18" s="76"/>
      <c r="D18" s="149"/>
      <c r="E18" s="76"/>
      <c r="F18" s="18"/>
      <c r="G18" s="18"/>
      <c r="H18" s="40" t="s">
        <v>17</v>
      </c>
      <c r="I18" s="18"/>
      <c r="J18" s="18"/>
      <c r="K18" s="19"/>
    </row>
    <row r="19" spans="2:11" ht="15.75">
      <c r="B19" s="14"/>
      <c r="C19" s="76"/>
      <c r="D19" s="149"/>
      <c r="E19" s="76"/>
      <c r="F19" s="18"/>
      <c r="G19" s="18"/>
      <c r="H19" s="18"/>
      <c r="I19" s="41" t="s">
        <v>18</v>
      </c>
      <c r="J19" s="42">
        <f>SUM(H16-K16)</f>
        <v>-77958</v>
      </c>
      <c r="K19" s="19"/>
    </row>
    <row r="20" spans="2:11" ht="16.5" thickBot="1">
      <c r="B20" s="43"/>
      <c r="C20" s="44"/>
      <c r="D20" s="179" t="s">
        <v>19</v>
      </c>
      <c r="E20" s="44">
        <f>SUM(C4:C19,E4:E19)</f>
        <v>40235</v>
      </c>
      <c r="F20" s="21"/>
      <c r="G20" s="168" t="str">
        <f>IF(J19=0,"",IF(J19&lt;0,"Subtract","Add"))</f>
        <v>Subtract</v>
      </c>
      <c r="H20" s="169">
        <f>IF(J19=0,"",J19)</f>
        <v>-77958</v>
      </c>
      <c r="I20" s="170" t="str">
        <f>IF(J19=0,"",IF(J19&lt;0,"from checkbook","to checkbook"))</f>
        <v>from checkbook</v>
      </c>
      <c r="J20" s="171"/>
      <c r="K20" s="264">
        <f>IF(K4="","",IF(J19=0,"Checkbook is balanced",""))</f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T72"/>
  <sheetViews>
    <sheetView showGridLines="0" showRowColHeaders="0" zoomScalePageLayoutView="0" workbookViewId="0" topLeftCell="C1">
      <selection activeCell="T43" sqref="T43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8" width="5.21484375" style="224" customWidth="1"/>
    <col min="19" max="19" width="4.6640625" style="224" customWidth="1"/>
    <col min="20" max="16384" width="8.88671875" style="224" customWidth="1"/>
  </cols>
  <sheetData>
    <row r="1" spans="1:19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143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7" t="s">
        <v>142</v>
      </c>
    </row>
    <row r="2" spans="1:20" ht="9" customHeight="1">
      <c r="A2" s="230"/>
      <c r="B2" s="236">
        <v>0.04</v>
      </c>
      <c r="C2" s="231">
        <v>60</v>
      </c>
      <c r="D2" s="232"/>
      <c r="E2" s="230"/>
      <c r="F2" s="236">
        <v>0.122</v>
      </c>
      <c r="G2" s="231"/>
      <c r="H2" s="232">
        <v>3.1</v>
      </c>
      <c r="I2" s="230" t="s">
        <v>144</v>
      </c>
      <c r="J2" s="236">
        <v>0.2344</v>
      </c>
      <c r="K2" s="231"/>
      <c r="L2" s="232"/>
      <c r="M2" s="230" t="s">
        <v>145</v>
      </c>
      <c r="N2" s="236">
        <v>0.375</v>
      </c>
      <c r="O2" s="231"/>
      <c r="P2" s="232"/>
      <c r="Q2" s="230" t="s">
        <v>146</v>
      </c>
      <c r="R2" s="236">
        <v>0.9062</v>
      </c>
      <c r="S2" s="233"/>
      <c r="T2" s="223"/>
    </row>
    <row r="3" spans="1:20" ht="9" customHeight="1">
      <c r="A3" s="230"/>
      <c r="B3" s="236">
        <v>0.041</v>
      </c>
      <c r="C3" s="231">
        <v>59</v>
      </c>
      <c r="D3" s="232"/>
      <c r="E3" s="230" t="s">
        <v>147</v>
      </c>
      <c r="F3" s="236">
        <v>0.125</v>
      </c>
      <c r="G3" s="231"/>
      <c r="H3" s="232"/>
      <c r="I3" s="230"/>
      <c r="J3" s="236">
        <v>0.2362</v>
      </c>
      <c r="K3" s="231"/>
      <c r="L3" s="232">
        <v>6</v>
      </c>
      <c r="M3" s="230"/>
      <c r="N3" s="236">
        <v>0.377</v>
      </c>
      <c r="O3" s="231" t="s">
        <v>148</v>
      </c>
      <c r="P3" s="232"/>
      <c r="Q3" s="230" t="s">
        <v>149</v>
      </c>
      <c r="R3" s="236">
        <v>0.9219</v>
      </c>
      <c r="S3" s="233"/>
      <c r="T3" s="223"/>
    </row>
    <row r="4" spans="1:20" ht="9" customHeight="1">
      <c r="A4" s="230"/>
      <c r="B4" s="236">
        <v>0.0413</v>
      </c>
      <c r="C4" s="231"/>
      <c r="D4" s="232">
        <v>1.05</v>
      </c>
      <c r="E4" s="230"/>
      <c r="F4" s="236">
        <v>0.126</v>
      </c>
      <c r="G4" s="231"/>
      <c r="H4" s="232">
        <v>3.2</v>
      </c>
      <c r="I4" s="230"/>
      <c r="J4" s="236">
        <v>0.23800000000000002</v>
      </c>
      <c r="K4" s="231" t="s">
        <v>150</v>
      </c>
      <c r="L4" s="232"/>
      <c r="M4" s="230"/>
      <c r="N4" s="236">
        <v>0.378</v>
      </c>
      <c r="O4" s="231"/>
      <c r="P4" s="232">
        <v>9.6</v>
      </c>
      <c r="Q4" s="230"/>
      <c r="R4" s="236">
        <v>0.9252</v>
      </c>
      <c r="S4" s="233">
        <v>23.5</v>
      </c>
      <c r="T4" s="223"/>
    </row>
    <row r="5" spans="1:20" ht="9" customHeight="1">
      <c r="A5" s="230"/>
      <c r="B5" s="236">
        <v>0.042</v>
      </c>
      <c r="C5" s="231">
        <v>58</v>
      </c>
      <c r="D5" s="232"/>
      <c r="E5" s="230"/>
      <c r="F5" s="236">
        <v>0.128</v>
      </c>
      <c r="G5" s="231"/>
      <c r="H5" s="232">
        <v>3.25</v>
      </c>
      <c r="I5" s="230"/>
      <c r="J5" s="236">
        <v>0.2402</v>
      </c>
      <c r="K5" s="231"/>
      <c r="L5" s="232">
        <v>6.1</v>
      </c>
      <c r="M5" s="230"/>
      <c r="N5" s="236">
        <v>0.3819</v>
      </c>
      <c r="O5" s="231"/>
      <c r="P5" s="232">
        <v>9.7</v>
      </c>
      <c r="Q5" s="230" t="s">
        <v>151</v>
      </c>
      <c r="R5" s="236">
        <v>0.9375</v>
      </c>
      <c r="S5" s="233"/>
      <c r="T5" s="223"/>
    </row>
    <row r="6" spans="1:20" ht="9" customHeight="1">
      <c r="A6" s="230"/>
      <c r="B6" s="236">
        <v>0.043000000000000003</v>
      </c>
      <c r="C6" s="231">
        <v>57</v>
      </c>
      <c r="D6" s="232"/>
      <c r="E6" s="230"/>
      <c r="F6" s="236">
        <v>0.1285</v>
      </c>
      <c r="G6" s="231">
        <v>30</v>
      </c>
      <c r="H6" s="232"/>
      <c r="I6" s="230"/>
      <c r="J6" s="236">
        <v>0.242</v>
      </c>
      <c r="K6" s="231" t="s">
        <v>152</v>
      </c>
      <c r="L6" s="232"/>
      <c r="M6" s="230"/>
      <c r="N6" s="236">
        <v>0.3839</v>
      </c>
      <c r="O6" s="231"/>
      <c r="P6" s="232">
        <v>9.75</v>
      </c>
      <c r="Q6" s="230"/>
      <c r="R6" s="236">
        <v>0.9449</v>
      </c>
      <c r="S6" s="233">
        <v>24</v>
      </c>
      <c r="T6" s="223"/>
    </row>
    <row r="7" spans="1:20" ht="9" customHeight="1">
      <c r="A7" s="230"/>
      <c r="B7" s="236">
        <v>0.043300000000000005</v>
      </c>
      <c r="C7" s="231"/>
      <c r="D7" s="232">
        <v>1.1</v>
      </c>
      <c r="E7" s="230"/>
      <c r="F7" s="236">
        <v>0.1299</v>
      </c>
      <c r="G7" s="231"/>
      <c r="H7" s="232">
        <v>3.3</v>
      </c>
      <c r="I7" s="230"/>
      <c r="J7" s="236">
        <v>0.2441</v>
      </c>
      <c r="K7" s="231"/>
      <c r="L7" s="232">
        <v>6.2</v>
      </c>
      <c r="M7" s="230"/>
      <c r="N7" s="236">
        <v>0.3858</v>
      </c>
      <c r="O7" s="231"/>
      <c r="P7" s="232">
        <v>9.8</v>
      </c>
      <c r="Q7" s="230" t="s">
        <v>153</v>
      </c>
      <c r="R7" s="236">
        <v>0.9531</v>
      </c>
      <c r="S7" s="233"/>
      <c r="T7" s="223"/>
    </row>
    <row r="8" spans="1:20" ht="9" customHeight="1">
      <c r="A8" s="230"/>
      <c r="B8" s="236">
        <v>0.0453</v>
      </c>
      <c r="C8" s="231"/>
      <c r="D8" s="232">
        <v>1.15</v>
      </c>
      <c r="E8" s="230"/>
      <c r="F8" s="236">
        <v>0.1339</v>
      </c>
      <c r="G8" s="231"/>
      <c r="H8" s="232">
        <v>3.4</v>
      </c>
      <c r="I8" s="230"/>
      <c r="J8" s="236">
        <v>0.246</v>
      </c>
      <c r="K8" s="231" t="s">
        <v>154</v>
      </c>
      <c r="L8" s="232"/>
      <c r="M8" s="230"/>
      <c r="N8" s="236">
        <v>0.386</v>
      </c>
      <c r="O8" s="231" t="s">
        <v>155</v>
      </c>
      <c r="P8" s="232"/>
      <c r="Q8" s="230"/>
      <c r="R8" s="236">
        <v>0.9646</v>
      </c>
      <c r="S8" s="233">
        <v>24.5</v>
      </c>
      <c r="T8" s="223"/>
    </row>
    <row r="9" spans="1:20" ht="9" customHeight="1">
      <c r="A9" s="230"/>
      <c r="B9" s="236">
        <v>0.0465</v>
      </c>
      <c r="C9" s="231">
        <v>56</v>
      </c>
      <c r="D9" s="232"/>
      <c r="E9" s="230"/>
      <c r="F9" s="236">
        <v>0.136</v>
      </c>
      <c r="G9" s="231">
        <v>29</v>
      </c>
      <c r="H9" s="232"/>
      <c r="I9" s="230"/>
      <c r="J9" s="236">
        <v>0.2461</v>
      </c>
      <c r="K9" s="231"/>
      <c r="L9" s="232">
        <v>6.25</v>
      </c>
      <c r="M9" s="230"/>
      <c r="N9" s="236">
        <v>0.3898</v>
      </c>
      <c r="O9" s="231"/>
      <c r="P9" s="232">
        <v>9.9</v>
      </c>
      <c r="Q9" s="230" t="s">
        <v>156</v>
      </c>
      <c r="R9" s="236">
        <v>0.9688</v>
      </c>
      <c r="S9" s="233"/>
      <c r="T9" s="223"/>
    </row>
    <row r="10" spans="1:20" ht="9" customHeight="1">
      <c r="A10" s="230" t="s">
        <v>157</v>
      </c>
      <c r="B10" s="236">
        <v>0.046900000000000004</v>
      </c>
      <c r="C10" s="231"/>
      <c r="D10" s="232"/>
      <c r="E10" s="230"/>
      <c r="F10" s="236">
        <v>0.1378</v>
      </c>
      <c r="G10" s="231"/>
      <c r="H10" s="232">
        <v>3.5</v>
      </c>
      <c r="I10" s="230"/>
      <c r="J10" s="236">
        <v>0.248</v>
      </c>
      <c r="K10" s="231"/>
      <c r="L10" s="232">
        <v>6.3</v>
      </c>
      <c r="M10" s="230" t="s">
        <v>158</v>
      </c>
      <c r="N10" s="236">
        <v>0.3906</v>
      </c>
      <c r="O10" s="231"/>
      <c r="P10" s="232"/>
      <c r="Q10" s="230"/>
      <c r="R10" s="236">
        <v>0.9843</v>
      </c>
      <c r="S10" s="233">
        <v>25</v>
      </c>
      <c r="T10" s="223"/>
    </row>
    <row r="11" spans="1:20" ht="9" customHeight="1">
      <c r="A11" s="230"/>
      <c r="B11" s="236">
        <v>0.0472</v>
      </c>
      <c r="C11" s="231"/>
      <c r="D11" s="232">
        <v>1.2</v>
      </c>
      <c r="E11" s="230"/>
      <c r="F11" s="236">
        <v>0.1405</v>
      </c>
      <c r="G11" s="231">
        <v>28</v>
      </c>
      <c r="H11" s="232"/>
      <c r="I11" s="230" t="s">
        <v>159</v>
      </c>
      <c r="J11" s="236">
        <v>0.25</v>
      </c>
      <c r="K11" s="231" t="s">
        <v>160</v>
      </c>
      <c r="L11" s="232"/>
      <c r="M11" s="230"/>
      <c r="N11" s="236">
        <v>0.3937</v>
      </c>
      <c r="O11" s="231"/>
      <c r="P11" s="232">
        <v>10</v>
      </c>
      <c r="Q11" s="230" t="s">
        <v>161</v>
      </c>
      <c r="R11" s="236">
        <v>0.9844</v>
      </c>
      <c r="S11" s="233"/>
      <c r="T11" s="223"/>
    </row>
    <row r="12" spans="1:20" ht="9" customHeight="1">
      <c r="A12" s="230"/>
      <c r="B12" s="236">
        <v>0.0492</v>
      </c>
      <c r="C12" s="231"/>
      <c r="D12" s="232">
        <v>1.25</v>
      </c>
      <c r="E12" s="230" t="s">
        <v>162</v>
      </c>
      <c r="F12" s="236">
        <v>0.1406</v>
      </c>
      <c r="G12" s="231"/>
      <c r="H12" s="232"/>
      <c r="I12" s="230"/>
      <c r="J12" s="236">
        <v>0.252</v>
      </c>
      <c r="K12" s="231"/>
      <c r="L12" s="232">
        <v>6.4</v>
      </c>
      <c r="M12" s="230"/>
      <c r="N12" s="236">
        <v>0.397</v>
      </c>
      <c r="O12" s="231" t="s">
        <v>120</v>
      </c>
      <c r="P12" s="232"/>
      <c r="Q12" s="230" t="s">
        <v>163</v>
      </c>
      <c r="R12" s="236">
        <v>1</v>
      </c>
      <c r="S12" s="233"/>
      <c r="T12" s="223"/>
    </row>
    <row r="13" spans="1:20" ht="9" customHeight="1">
      <c r="A13" s="230"/>
      <c r="B13" s="236">
        <v>0.0512</v>
      </c>
      <c r="C13" s="231"/>
      <c r="D13" s="232">
        <v>1.3</v>
      </c>
      <c r="E13" s="230"/>
      <c r="F13" s="236">
        <v>0.1417</v>
      </c>
      <c r="G13" s="231"/>
      <c r="H13" s="232">
        <v>3.6</v>
      </c>
      <c r="I13" s="230"/>
      <c r="J13" s="236">
        <v>0.2559</v>
      </c>
      <c r="K13" s="231"/>
      <c r="L13" s="232">
        <v>6.5</v>
      </c>
      <c r="M13" s="230"/>
      <c r="N13" s="236">
        <v>0.404</v>
      </c>
      <c r="O13" s="231" t="s">
        <v>101</v>
      </c>
      <c r="P13" s="232"/>
      <c r="Q13" s="230"/>
      <c r="R13" s="236">
        <v>1.0039</v>
      </c>
      <c r="S13" s="233">
        <v>25.5</v>
      </c>
      <c r="T13" s="223"/>
    </row>
    <row r="14" spans="1:20" ht="9" customHeight="1">
      <c r="A14" s="230"/>
      <c r="B14" s="236">
        <v>0.052000000000000005</v>
      </c>
      <c r="C14" s="231">
        <v>55</v>
      </c>
      <c r="D14" s="232"/>
      <c r="E14" s="230"/>
      <c r="F14" s="236">
        <v>0.14400000000000002</v>
      </c>
      <c r="G14" s="231">
        <v>27</v>
      </c>
      <c r="H14" s="232"/>
      <c r="I14" s="230"/>
      <c r="J14" s="236">
        <v>0.257</v>
      </c>
      <c r="K14" s="231" t="s">
        <v>164</v>
      </c>
      <c r="L14" s="232"/>
      <c r="M14" s="230" t="s">
        <v>165</v>
      </c>
      <c r="N14" s="236">
        <v>0.4062</v>
      </c>
      <c r="O14" s="231"/>
      <c r="P14" s="232"/>
      <c r="Q14" s="230" t="s">
        <v>166</v>
      </c>
      <c r="R14" s="236">
        <v>1.0156</v>
      </c>
      <c r="S14" s="233"/>
      <c r="T14" s="223"/>
    </row>
    <row r="15" spans="1:20" ht="9" customHeight="1">
      <c r="A15" s="230"/>
      <c r="B15" s="236">
        <v>0.0531</v>
      </c>
      <c r="C15" s="231"/>
      <c r="D15" s="232">
        <v>1.35</v>
      </c>
      <c r="E15" s="230"/>
      <c r="F15" s="236">
        <v>0.1457</v>
      </c>
      <c r="G15" s="231"/>
      <c r="H15" s="232">
        <v>3.7</v>
      </c>
      <c r="I15" s="230"/>
      <c r="J15" s="236">
        <v>0.2598</v>
      </c>
      <c r="K15" s="231"/>
      <c r="L15" s="232">
        <v>6.6</v>
      </c>
      <c r="M15" s="230"/>
      <c r="N15" s="236">
        <v>0.41300000000000003</v>
      </c>
      <c r="O15" s="231" t="s">
        <v>102</v>
      </c>
      <c r="P15" s="232"/>
      <c r="Q15" s="230"/>
      <c r="R15" s="236">
        <v>1.0236</v>
      </c>
      <c r="S15" s="233">
        <v>26</v>
      </c>
      <c r="T15" s="223"/>
    </row>
    <row r="16" spans="1:20" ht="9" customHeight="1">
      <c r="A16" s="230"/>
      <c r="B16" s="236">
        <v>0.055</v>
      </c>
      <c r="C16" s="231">
        <v>54</v>
      </c>
      <c r="D16" s="232"/>
      <c r="E16" s="230"/>
      <c r="F16" s="236">
        <v>0.147</v>
      </c>
      <c r="G16" s="231">
        <v>26</v>
      </c>
      <c r="H16" s="232"/>
      <c r="I16" s="230"/>
      <c r="J16" s="236">
        <v>0.261</v>
      </c>
      <c r="K16" s="231" t="s">
        <v>167</v>
      </c>
      <c r="L16" s="232"/>
      <c r="M16" s="230"/>
      <c r="N16" s="236">
        <v>0.4134</v>
      </c>
      <c r="O16" s="231"/>
      <c r="P16" s="232">
        <v>10.5</v>
      </c>
      <c r="Q16" s="230" t="s">
        <v>168</v>
      </c>
      <c r="R16" s="236">
        <v>1.0312</v>
      </c>
      <c r="S16" s="233"/>
      <c r="T16" s="223"/>
    </row>
    <row r="17" spans="1:20" ht="9" customHeight="1">
      <c r="A17" s="230"/>
      <c r="B17" s="236">
        <v>0.0551</v>
      </c>
      <c r="C17" s="231"/>
      <c r="D17" s="232">
        <v>1.4</v>
      </c>
      <c r="E17" s="230"/>
      <c r="F17" s="236">
        <v>0.1476</v>
      </c>
      <c r="G17" s="231"/>
      <c r="H17" s="232">
        <v>3.75</v>
      </c>
      <c r="I17" s="230"/>
      <c r="J17" s="236">
        <v>0.2638</v>
      </c>
      <c r="K17" s="231"/>
      <c r="L17" s="232">
        <v>6.7</v>
      </c>
      <c r="M17" s="230" t="s">
        <v>169</v>
      </c>
      <c r="N17" s="236">
        <v>0.4219</v>
      </c>
      <c r="O17" s="231"/>
      <c r="P17" s="232"/>
      <c r="Q17" s="230"/>
      <c r="R17" s="236">
        <v>1.0433</v>
      </c>
      <c r="S17" s="233">
        <v>26.5</v>
      </c>
      <c r="T17" s="223"/>
    </row>
    <row r="18" spans="1:20" ht="9" customHeight="1">
      <c r="A18" s="230"/>
      <c r="B18" s="236">
        <v>0.057100000000000005</v>
      </c>
      <c r="C18" s="231"/>
      <c r="D18" s="232">
        <v>1.45</v>
      </c>
      <c r="E18" s="230"/>
      <c r="F18" s="236">
        <v>0.1495</v>
      </c>
      <c r="G18" s="231">
        <v>25</v>
      </c>
      <c r="H18" s="232"/>
      <c r="I18" s="230" t="s">
        <v>170</v>
      </c>
      <c r="J18" s="236">
        <v>0.2656</v>
      </c>
      <c r="K18" s="231"/>
      <c r="L18" s="232"/>
      <c r="M18" s="230"/>
      <c r="N18" s="236">
        <v>0.4331</v>
      </c>
      <c r="O18" s="231"/>
      <c r="P18" s="232">
        <v>11</v>
      </c>
      <c r="Q18" s="230" t="s">
        <v>171</v>
      </c>
      <c r="R18" s="236">
        <v>1.0469</v>
      </c>
      <c r="S18" s="233"/>
      <c r="T18" s="223"/>
    </row>
    <row r="19" spans="1:20" ht="9" customHeight="1">
      <c r="A19" s="230"/>
      <c r="B19" s="236">
        <v>0.0591</v>
      </c>
      <c r="C19" s="231"/>
      <c r="D19" s="232">
        <v>1.5</v>
      </c>
      <c r="E19" s="230"/>
      <c r="F19" s="236">
        <v>0.1496</v>
      </c>
      <c r="G19" s="231"/>
      <c r="H19" s="232">
        <v>3.8</v>
      </c>
      <c r="I19" s="230"/>
      <c r="J19" s="236">
        <v>0.2657</v>
      </c>
      <c r="K19" s="231"/>
      <c r="L19" s="232">
        <v>6.75</v>
      </c>
      <c r="M19" s="230" t="s">
        <v>172</v>
      </c>
      <c r="N19" s="236">
        <v>0.4375</v>
      </c>
      <c r="O19" s="231"/>
      <c r="P19" s="232"/>
      <c r="Q19" s="230" t="s">
        <v>173</v>
      </c>
      <c r="R19" s="236">
        <v>1.0625</v>
      </c>
      <c r="S19" s="233"/>
      <c r="T19" s="223"/>
    </row>
    <row r="20" spans="1:20" ht="9" customHeight="1">
      <c r="A20" s="230"/>
      <c r="B20" s="236">
        <v>0.059500000000000004</v>
      </c>
      <c r="C20" s="231">
        <v>53</v>
      </c>
      <c r="D20" s="232"/>
      <c r="E20" s="230"/>
      <c r="F20" s="236">
        <v>0.152</v>
      </c>
      <c r="G20" s="231">
        <v>24</v>
      </c>
      <c r="H20" s="232"/>
      <c r="I20" s="230"/>
      <c r="J20" s="236">
        <v>0.266</v>
      </c>
      <c r="K20" s="231" t="s">
        <v>174</v>
      </c>
      <c r="L20" s="232"/>
      <c r="M20" s="230"/>
      <c r="N20" s="236">
        <v>0.4528</v>
      </c>
      <c r="O20" s="231"/>
      <c r="P20" s="232">
        <v>11.5</v>
      </c>
      <c r="Q20" s="230"/>
      <c r="R20" s="236">
        <v>1.063</v>
      </c>
      <c r="S20" s="233">
        <v>27</v>
      </c>
      <c r="T20" s="223"/>
    </row>
    <row r="21" spans="1:20" ht="9" customHeight="1">
      <c r="A21" s="230"/>
      <c r="B21" s="236">
        <v>0.061000000000000006</v>
      </c>
      <c r="C21" s="231"/>
      <c r="D21" s="232">
        <v>1.55</v>
      </c>
      <c r="E21" s="230"/>
      <c r="F21" s="236">
        <v>0.1535</v>
      </c>
      <c r="G21" s="231"/>
      <c r="H21" s="232">
        <v>3.9</v>
      </c>
      <c r="I21" s="230"/>
      <c r="J21" s="236">
        <v>0.2677</v>
      </c>
      <c r="K21" s="231"/>
      <c r="L21" s="232">
        <v>6.8</v>
      </c>
      <c r="M21" s="230" t="s">
        <v>175</v>
      </c>
      <c r="N21" s="236">
        <v>0.4531</v>
      </c>
      <c r="O21" s="231"/>
      <c r="P21" s="232"/>
      <c r="Q21" s="230" t="s">
        <v>176</v>
      </c>
      <c r="R21" s="236">
        <v>1.0781</v>
      </c>
      <c r="S21" s="233"/>
      <c r="T21" s="223"/>
    </row>
    <row r="22" spans="1:20" ht="9" customHeight="1">
      <c r="A22" s="230" t="s">
        <v>177</v>
      </c>
      <c r="B22" s="236">
        <v>0.0625</v>
      </c>
      <c r="C22" s="231"/>
      <c r="D22" s="232"/>
      <c r="E22" s="230"/>
      <c r="F22" s="236">
        <v>0.154</v>
      </c>
      <c r="G22" s="231">
        <v>23</v>
      </c>
      <c r="H22" s="232"/>
      <c r="I22" s="230"/>
      <c r="J22" s="236">
        <v>0.2717</v>
      </c>
      <c r="K22" s="231"/>
      <c r="L22" s="232">
        <v>6.9</v>
      </c>
      <c r="M22" s="230" t="s">
        <v>178</v>
      </c>
      <c r="N22" s="236">
        <v>0.4688</v>
      </c>
      <c r="O22" s="231"/>
      <c r="P22" s="232"/>
      <c r="Q22" s="230"/>
      <c r="R22" s="236">
        <v>1.0827</v>
      </c>
      <c r="S22" s="233">
        <v>27.5</v>
      </c>
      <c r="T22" s="223"/>
    </row>
    <row r="23" spans="1:20" ht="9" customHeight="1">
      <c r="A23" s="230"/>
      <c r="B23" s="236">
        <v>0.063</v>
      </c>
      <c r="C23" s="231"/>
      <c r="D23" s="232">
        <v>1.6</v>
      </c>
      <c r="E23" s="230" t="s">
        <v>179</v>
      </c>
      <c r="F23" s="236">
        <v>0.1562</v>
      </c>
      <c r="G23" s="231"/>
      <c r="H23" s="232"/>
      <c r="I23" s="230"/>
      <c r="J23" s="236">
        <v>0.272</v>
      </c>
      <c r="K23" s="231" t="s">
        <v>180</v>
      </c>
      <c r="L23" s="232"/>
      <c r="M23" s="230"/>
      <c r="N23" s="236">
        <v>0.4724</v>
      </c>
      <c r="O23" s="231"/>
      <c r="P23" s="232">
        <v>12</v>
      </c>
      <c r="Q23" s="230" t="s">
        <v>181</v>
      </c>
      <c r="R23" s="236">
        <v>1.0938</v>
      </c>
      <c r="S23" s="233"/>
      <c r="T23" s="223"/>
    </row>
    <row r="24" spans="1:20" ht="9" customHeight="1">
      <c r="A24" s="230"/>
      <c r="B24" s="236">
        <v>0.0635</v>
      </c>
      <c r="C24" s="231">
        <v>52</v>
      </c>
      <c r="D24" s="232"/>
      <c r="E24" s="230"/>
      <c r="F24" s="236">
        <v>0.157</v>
      </c>
      <c r="G24" s="231">
        <v>22</v>
      </c>
      <c r="H24" s="232"/>
      <c r="I24" s="230"/>
      <c r="J24" s="236">
        <v>0.2756</v>
      </c>
      <c r="K24" s="231"/>
      <c r="L24" s="232">
        <v>7</v>
      </c>
      <c r="M24" s="230" t="s">
        <v>182</v>
      </c>
      <c r="N24" s="236">
        <v>0.4844</v>
      </c>
      <c r="O24" s="231"/>
      <c r="P24" s="232"/>
      <c r="Q24" s="230"/>
      <c r="R24" s="236">
        <v>1.1024</v>
      </c>
      <c r="S24" s="233">
        <v>28</v>
      </c>
      <c r="T24" s="223"/>
    </row>
    <row r="25" spans="1:20" ht="9" customHeight="1">
      <c r="A25" s="230"/>
      <c r="B25" s="236">
        <v>0.065</v>
      </c>
      <c r="C25" s="231"/>
      <c r="D25" s="232">
        <v>1.65</v>
      </c>
      <c r="E25" s="230"/>
      <c r="F25" s="236">
        <v>0.1575</v>
      </c>
      <c r="G25" s="231"/>
      <c r="H25" s="232">
        <v>4</v>
      </c>
      <c r="I25" s="230"/>
      <c r="J25" s="236">
        <v>0.277</v>
      </c>
      <c r="K25" s="231" t="s">
        <v>183</v>
      </c>
      <c r="L25" s="232"/>
      <c r="M25" s="230"/>
      <c r="N25" s="236">
        <v>0.4921</v>
      </c>
      <c r="O25" s="231"/>
      <c r="P25" s="232">
        <v>12.5</v>
      </c>
      <c r="Q25" s="230" t="s">
        <v>184</v>
      </c>
      <c r="R25" s="236">
        <v>1.1094</v>
      </c>
      <c r="S25" s="233"/>
      <c r="T25" s="223"/>
    </row>
    <row r="26" spans="1:20" ht="9" customHeight="1">
      <c r="A26" s="230"/>
      <c r="B26" s="236">
        <v>0.0669</v>
      </c>
      <c r="C26" s="231"/>
      <c r="D26" s="232">
        <v>1.7</v>
      </c>
      <c r="E26" s="230"/>
      <c r="F26" s="236">
        <v>0.159</v>
      </c>
      <c r="G26" s="231">
        <v>21</v>
      </c>
      <c r="H26" s="232"/>
      <c r="I26" s="230"/>
      <c r="J26" s="236">
        <v>0.2795</v>
      </c>
      <c r="K26" s="231"/>
      <c r="L26" s="232">
        <v>7.1</v>
      </c>
      <c r="M26" s="230" t="s">
        <v>185</v>
      </c>
      <c r="N26" s="236">
        <v>0.5</v>
      </c>
      <c r="O26" s="231"/>
      <c r="P26" s="232"/>
      <c r="Q26" s="230"/>
      <c r="R26" s="236">
        <v>1.122</v>
      </c>
      <c r="S26" s="233">
        <v>28.5</v>
      </c>
      <c r="T26" s="223"/>
    </row>
    <row r="27" spans="1:20" ht="9" customHeight="1">
      <c r="A27" s="230"/>
      <c r="B27" s="236">
        <v>0.067</v>
      </c>
      <c r="C27" s="231">
        <v>51</v>
      </c>
      <c r="D27" s="232"/>
      <c r="E27" s="230"/>
      <c r="F27" s="236">
        <v>0.161</v>
      </c>
      <c r="G27" s="231">
        <v>20</v>
      </c>
      <c r="H27" s="232"/>
      <c r="I27" s="230"/>
      <c r="J27" s="236">
        <v>0.281</v>
      </c>
      <c r="K27" s="231" t="s">
        <v>186</v>
      </c>
      <c r="L27" s="232"/>
      <c r="M27" s="230"/>
      <c r="N27" s="236">
        <v>0.5118</v>
      </c>
      <c r="O27" s="231"/>
      <c r="P27" s="232">
        <v>13</v>
      </c>
      <c r="Q27" s="230" t="s">
        <v>187</v>
      </c>
      <c r="R27" s="236">
        <v>1.125</v>
      </c>
      <c r="S27" s="233"/>
      <c r="T27" s="223"/>
    </row>
    <row r="28" spans="1:20" ht="9" customHeight="1">
      <c r="A28" s="230"/>
      <c r="B28" s="236">
        <v>0.0689</v>
      </c>
      <c r="C28" s="231"/>
      <c r="D28" s="232">
        <v>1.75</v>
      </c>
      <c r="E28" s="230"/>
      <c r="F28" s="236">
        <v>0.1614</v>
      </c>
      <c r="G28" s="231"/>
      <c r="H28" s="232">
        <v>4.1</v>
      </c>
      <c r="I28" s="230" t="s">
        <v>188</v>
      </c>
      <c r="J28" s="236">
        <v>0.2812</v>
      </c>
      <c r="K28" s="231"/>
      <c r="L28" s="232"/>
      <c r="M28" s="230" t="s">
        <v>189</v>
      </c>
      <c r="N28" s="236">
        <v>0.5156</v>
      </c>
      <c r="O28" s="231"/>
      <c r="P28" s="232"/>
      <c r="Q28" s="230" t="s">
        <v>190</v>
      </c>
      <c r="R28" s="236">
        <v>1.1406</v>
      </c>
      <c r="S28" s="233"/>
      <c r="T28" s="223"/>
    </row>
    <row r="29" spans="1:20" ht="9" customHeight="1">
      <c r="A29" s="230"/>
      <c r="B29" s="236">
        <v>0.07</v>
      </c>
      <c r="C29" s="231">
        <v>50</v>
      </c>
      <c r="D29" s="232"/>
      <c r="E29" s="230"/>
      <c r="F29" s="236">
        <v>0.1654</v>
      </c>
      <c r="G29" s="231"/>
      <c r="H29" s="232">
        <v>4.2</v>
      </c>
      <c r="I29" s="230"/>
      <c r="J29" s="236">
        <v>0.28350000000000003</v>
      </c>
      <c r="K29" s="231"/>
      <c r="L29" s="232">
        <v>7.2</v>
      </c>
      <c r="M29" s="230" t="s">
        <v>191</v>
      </c>
      <c r="N29" s="236">
        <v>0.5312</v>
      </c>
      <c r="O29" s="231"/>
      <c r="P29" s="232"/>
      <c r="Q29" s="230"/>
      <c r="R29" s="236">
        <v>1.1417</v>
      </c>
      <c r="S29" s="233">
        <v>29</v>
      </c>
      <c r="T29" s="223"/>
    </row>
    <row r="30" spans="1:20" ht="9" customHeight="1">
      <c r="A30" s="230"/>
      <c r="B30" s="236">
        <v>0.0709</v>
      </c>
      <c r="C30" s="231"/>
      <c r="D30" s="232">
        <v>1.8</v>
      </c>
      <c r="E30" s="230"/>
      <c r="F30" s="236">
        <v>0.166</v>
      </c>
      <c r="G30" s="231">
        <v>19</v>
      </c>
      <c r="H30" s="232"/>
      <c r="I30" s="230"/>
      <c r="J30" s="236">
        <v>0.2854</v>
      </c>
      <c r="K30" s="231"/>
      <c r="L30" s="232">
        <v>7.25</v>
      </c>
      <c r="M30" s="230"/>
      <c r="N30" s="236">
        <v>0.5315</v>
      </c>
      <c r="O30" s="231"/>
      <c r="P30" s="232">
        <v>13.5</v>
      </c>
      <c r="Q30" s="230" t="s">
        <v>192</v>
      </c>
      <c r="R30" s="236">
        <v>1.1562</v>
      </c>
      <c r="S30" s="233"/>
      <c r="T30" s="223"/>
    </row>
    <row r="31" spans="1:20" ht="9" customHeight="1">
      <c r="A31" s="230"/>
      <c r="B31" s="236">
        <v>0.0728</v>
      </c>
      <c r="C31" s="231"/>
      <c r="D31" s="232">
        <v>1.85</v>
      </c>
      <c r="E31" s="230"/>
      <c r="F31" s="236">
        <v>0.1673</v>
      </c>
      <c r="G31" s="231"/>
      <c r="H31" s="232">
        <v>4.25</v>
      </c>
      <c r="I31" s="230"/>
      <c r="J31" s="236">
        <v>0.2874</v>
      </c>
      <c r="K31" s="231"/>
      <c r="L31" s="232">
        <v>7.3</v>
      </c>
      <c r="M31" s="230" t="s">
        <v>193</v>
      </c>
      <c r="N31" s="236">
        <v>0.5469</v>
      </c>
      <c r="O31" s="231"/>
      <c r="P31" s="232"/>
      <c r="Q31" s="230"/>
      <c r="R31" s="236">
        <v>1.1614</v>
      </c>
      <c r="S31" s="233">
        <v>29.5</v>
      </c>
      <c r="T31" s="223"/>
    </row>
    <row r="32" spans="1:20" ht="9" customHeight="1">
      <c r="A32" s="230"/>
      <c r="B32" s="236">
        <v>0.073</v>
      </c>
      <c r="C32" s="231">
        <v>49</v>
      </c>
      <c r="D32" s="232"/>
      <c r="E32" s="230"/>
      <c r="F32" s="236">
        <v>0.1693</v>
      </c>
      <c r="G32" s="231"/>
      <c r="H32" s="232">
        <v>4.3</v>
      </c>
      <c r="I32" s="230"/>
      <c r="J32" s="236">
        <v>0.29</v>
      </c>
      <c r="K32" s="231" t="s">
        <v>194</v>
      </c>
      <c r="L32" s="232"/>
      <c r="M32" s="230"/>
      <c r="N32" s="236">
        <v>0.5512</v>
      </c>
      <c r="O32" s="231"/>
      <c r="P32" s="232">
        <v>14</v>
      </c>
      <c r="Q32" s="230" t="s">
        <v>195</v>
      </c>
      <c r="R32" s="236">
        <v>1.1719</v>
      </c>
      <c r="S32" s="233"/>
      <c r="T32" s="223"/>
    </row>
    <row r="33" spans="1:20" ht="9" customHeight="1">
      <c r="A33" s="230"/>
      <c r="B33" s="236">
        <v>0.0748</v>
      </c>
      <c r="C33" s="231"/>
      <c r="D33" s="232">
        <v>1.9</v>
      </c>
      <c r="E33" s="230"/>
      <c r="F33" s="236">
        <v>0.1695</v>
      </c>
      <c r="G33" s="231">
        <v>18</v>
      </c>
      <c r="H33" s="232"/>
      <c r="I33" s="230"/>
      <c r="J33" s="236">
        <v>0.2913</v>
      </c>
      <c r="K33" s="231"/>
      <c r="L33" s="232">
        <v>7.4</v>
      </c>
      <c r="M33" s="230" t="s">
        <v>196</v>
      </c>
      <c r="N33" s="236">
        <v>0.5625</v>
      </c>
      <c r="O33" s="231"/>
      <c r="P33" s="232"/>
      <c r="Q33" s="230"/>
      <c r="R33" s="236">
        <v>1.1811</v>
      </c>
      <c r="S33" s="233">
        <v>30</v>
      </c>
      <c r="T33" s="223"/>
    </row>
    <row r="34" spans="1:20" ht="9" customHeight="1">
      <c r="A34" s="230"/>
      <c r="B34" s="236">
        <v>0.076</v>
      </c>
      <c r="C34" s="231">
        <v>48</v>
      </c>
      <c r="D34" s="232"/>
      <c r="E34" s="230" t="s">
        <v>197</v>
      </c>
      <c r="F34" s="236">
        <v>0.1719</v>
      </c>
      <c r="G34" s="231"/>
      <c r="H34" s="232"/>
      <c r="I34" s="230"/>
      <c r="J34" s="236">
        <v>0.295</v>
      </c>
      <c r="K34" s="231" t="s">
        <v>198</v>
      </c>
      <c r="L34" s="232"/>
      <c r="M34" s="230"/>
      <c r="N34" s="236">
        <v>0.5709</v>
      </c>
      <c r="O34" s="231"/>
      <c r="P34" s="232">
        <v>14.5</v>
      </c>
      <c r="Q34" s="230" t="s">
        <v>199</v>
      </c>
      <c r="R34" s="236">
        <v>1.1875</v>
      </c>
      <c r="S34" s="233"/>
      <c r="T34" s="223"/>
    </row>
    <row r="35" spans="1:20" ht="9" customHeight="1">
      <c r="A35" s="230"/>
      <c r="B35" s="236">
        <v>0.07680000000000001</v>
      </c>
      <c r="C35" s="231"/>
      <c r="D35" s="232">
        <v>1.95</v>
      </c>
      <c r="E35" s="230"/>
      <c r="F35" s="236">
        <v>0.17300000000000001</v>
      </c>
      <c r="G35" s="231">
        <v>17</v>
      </c>
      <c r="H35" s="232"/>
      <c r="I35" s="230"/>
      <c r="J35" s="236">
        <v>0.2953</v>
      </c>
      <c r="K35" s="231"/>
      <c r="L35" s="232">
        <v>7.5</v>
      </c>
      <c r="M35" s="230" t="s">
        <v>200</v>
      </c>
      <c r="N35" s="236">
        <v>0.5781</v>
      </c>
      <c r="O35" s="231"/>
      <c r="P35" s="232"/>
      <c r="Q35" s="230"/>
      <c r="R35" s="236">
        <v>1.2008</v>
      </c>
      <c r="S35" s="233">
        <v>30.5</v>
      </c>
      <c r="T35" s="223"/>
    </row>
    <row r="36" spans="1:20" ht="9" customHeight="1">
      <c r="A36" s="230" t="s">
        <v>201</v>
      </c>
      <c r="B36" s="236">
        <v>0.0781</v>
      </c>
      <c r="C36" s="231"/>
      <c r="D36" s="232"/>
      <c r="E36" s="230"/>
      <c r="F36" s="236">
        <v>0.1732</v>
      </c>
      <c r="G36" s="231"/>
      <c r="H36" s="232">
        <v>4.4</v>
      </c>
      <c r="I36" s="230" t="s">
        <v>202</v>
      </c>
      <c r="J36" s="236">
        <v>0.2969</v>
      </c>
      <c r="K36" s="231"/>
      <c r="L36" s="232"/>
      <c r="M36" s="230"/>
      <c r="N36" s="236">
        <v>0.5906</v>
      </c>
      <c r="O36" s="231"/>
      <c r="P36" s="232">
        <v>15</v>
      </c>
      <c r="Q36" s="230" t="s">
        <v>203</v>
      </c>
      <c r="R36" s="236">
        <v>1.2031</v>
      </c>
      <c r="S36" s="233"/>
      <c r="T36" s="223"/>
    </row>
    <row r="37" spans="1:20" ht="9" customHeight="1">
      <c r="A37" s="230"/>
      <c r="B37" s="236">
        <v>0.0785</v>
      </c>
      <c r="C37" s="231">
        <v>47</v>
      </c>
      <c r="D37" s="232"/>
      <c r="E37" s="230"/>
      <c r="F37" s="236">
        <v>0.177</v>
      </c>
      <c r="G37" s="231">
        <v>16</v>
      </c>
      <c r="H37" s="232"/>
      <c r="I37" s="230"/>
      <c r="J37" s="236">
        <v>0.2992</v>
      </c>
      <c r="K37" s="231"/>
      <c r="L37" s="232">
        <v>7.6</v>
      </c>
      <c r="M37" s="230" t="s">
        <v>204</v>
      </c>
      <c r="N37" s="236">
        <v>0.5938</v>
      </c>
      <c r="O37" s="231"/>
      <c r="P37" s="232"/>
      <c r="Q37" s="230" t="s">
        <v>205</v>
      </c>
      <c r="R37" s="236">
        <v>1.2188</v>
      </c>
      <c r="S37" s="233"/>
      <c r="T37" s="223"/>
    </row>
    <row r="38" spans="1:20" ht="9" customHeight="1">
      <c r="A38" s="230"/>
      <c r="B38" s="236">
        <v>0.0787</v>
      </c>
      <c r="C38" s="231"/>
      <c r="D38" s="232">
        <v>2</v>
      </c>
      <c r="E38" s="230"/>
      <c r="F38" s="236">
        <v>0.1772</v>
      </c>
      <c r="G38" s="231"/>
      <c r="H38" s="232">
        <v>4.5</v>
      </c>
      <c r="I38" s="230"/>
      <c r="J38" s="236">
        <v>0.302</v>
      </c>
      <c r="K38" s="231" t="s">
        <v>206</v>
      </c>
      <c r="L38" s="232"/>
      <c r="M38" s="230" t="s">
        <v>207</v>
      </c>
      <c r="N38" s="236">
        <v>0.6094</v>
      </c>
      <c r="O38" s="231"/>
      <c r="P38" s="232"/>
      <c r="Q38" s="230"/>
      <c r="R38" s="236">
        <v>1.2205</v>
      </c>
      <c r="S38" s="233">
        <v>31</v>
      </c>
      <c r="T38" s="223"/>
    </row>
    <row r="39" spans="1:20" ht="9" customHeight="1">
      <c r="A39" s="230"/>
      <c r="B39" s="236">
        <v>0.08070000000000001</v>
      </c>
      <c r="C39" s="231"/>
      <c r="D39" s="232">
        <v>2.05</v>
      </c>
      <c r="E39" s="230"/>
      <c r="F39" s="236">
        <v>0.18</v>
      </c>
      <c r="G39" s="231">
        <v>15</v>
      </c>
      <c r="H39" s="232"/>
      <c r="I39" s="230"/>
      <c r="J39" s="236">
        <v>0.3031</v>
      </c>
      <c r="K39" s="231"/>
      <c r="L39" s="232">
        <v>7.7</v>
      </c>
      <c r="M39" s="230"/>
      <c r="N39" s="236">
        <v>0.6102</v>
      </c>
      <c r="O39" s="231"/>
      <c r="P39" s="232">
        <v>15.5</v>
      </c>
      <c r="Q39" s="230" t="s">
        <v>208</v>
      </c>
      <c r="R39" s="236">
        <v>1.2344</v>
      </c>
      <c r="S39" s="233"/>
      <c r="T39" s="223"/>
    </row>
    <row r="40" spans="1:20" ht="9" customHeight="1">
      <c r="A40" s="230"/>
      <c r="B40" s="236">
        <v>0.081</v>
      </c>
      <c r="C40" s="231">
        <v>46</v>
      </c>
      <c r="D40" s="232"/>
      <c r="E40" s="230"/>
      <c r="F40" s="236">
        <v>0.1811</v>
      </c>
      <c r="G40" s="231"/>
      <c r="H40" s="232">
        <v>4.6</v>
      </c>
      <c r="I40" s="230"/>
      <c r="J40" s="236">
        <v>0.3051</v>
      </c>
      <c r="K40" s="231"/>
      <c r="L40" s="232">
        <v>7.75</v>
      </c>
      <c r="M40" s="230" t="s">
        <v>209</v>
      </c>
      <c r="N40" s="236">
        <v>0.625</v>
      </c>
      <c r="O40" s="231"/>
      <c r="P40" s="232"/>
      <c r="Q40" s="230"/>
      <c r="R40" s="236">
        <v>1.2402</v>
      </c>
      <c r="S40" s="233">
        <v>31.5</v>
      </c>
      <c r="T40" s="223"/>
    </row>
    <row r="41" spans="1:20" ht="9" customHeight="1">
      <c r="A41" s="230"/>
      <c r="B41" s="236">
        <v>0.082</v>
      </c>
      <c r="C41" s="231">
        <v>45</v>
      </c>
      <c r="D41" s="232"/>
      <c r="E41" s="230"/>
      <c r="F41" s="236">
        <v>0.182</v>
      </c>
      <c r="G41" s="231">
        <v>14</v>
      </c>
      <c r="H41" s="232"/>
      <c r="I41" s="230"/>
      <c r="J41" s="236">
        <v>0.3071</v>
      </c>
      <c r="K41" s="231"/>
      <c r="L41" s="232">
        <v>7.8</v>
      </c>
      <c r="M41" s="230"/>
      <c r="N41" s="236">
        <v>0.6299</v>
      </c>
      <c r="O41" s="231"/>
      <c r="P41" s="232">
        <v>16</v>
      </c>
      <c r="Q41" s="230" t="s">
        <v>210</v>
      </c>
      <c r="R41" s="236">
        <v>1.25</v>
      </c>
      <c r="S41" s="233"/>
      <c r="T41" s="223"/>
    </row>
    <row r="42" spans="1:20" ht="9" customHeight="1">
      <c r="A42" s="230"/>
      <c r="B42" s="236">
        <v>0.08270000000000001</v>
      </c>
      <c r="C42" s="231"/>
      <c r="D42" s="232">
        <v>2.1</v>
      </c>
      <c r="E42" s="230"/>
      <c r="F42" s="236">
        <v>0.185</v>
      </c>
      <c r="G42" s="231">
        <v>13</v>
      </c>
      <c r="H42" s="232">
        <v>4.7</v>
      </c>
      <c r="I42" s="230"/>
      <c r="J42" s="236">
        <v>0.311</v>
      </c>
      <c r="K42" s="231"/>
      <c r="L42" s="232">
        <v>7.9</v>
      </c>
      <c r="M42" s="230" t="s">
        <v>211</v>
      </c>
      <c r="N42" s="236">
        <v>0.6406</v>
      </c>
      <c r="O42" s="231"/>
      <c r="P42" s="232"/>
      <c r="Q42" s="230"/>
      <c r="R42" s="236">
        <v>1.2598</v>
      </c>
      <c r="S42" s="233">
        <v>32</v>
      </c>
      <c r="T42" s="223"/>
    </row>
    <row r="43" spans="1:20" ht="9" customHeight="1">
      <c r="A43" s="230"/>
      <c r="B43" s="236">
        <v>0.08460000000000001</v>
      </c>
      <c r="C43" s="231"/>
      <c r="D43" s="232">
        <v>2.15</v>
      </c>
      <c r="E43" s="230"/>
      <c r="F43" s="236">
        <v>0.187</v>
      </c>
      <c r="G43" s="231"/>
      <c r="H43" s="232">
        <v>4.75</v>
      </c>
      <c r="I43" s="230" t="s">
        <v>212</v>
      </c>
      <c r="J43" s="236">
        <v>0.3125</v>
      </c>
      <c r="K43" s="231"/>
      <c r="L43" s="232"/>
      <c r="M43" s="230"/>
      <c r="N43" s="236">
        <v>0.6496</v>
      </c>
      <c r="O43" s="231"/>
      <c r="P43" s="232">
        <v>16.5</v>
      </c>
      <c r="Q43" s="230" t="s">
        <v>213</v>
      </c>
      <c r="R43" s="236">
        <v>1.2656</v>
      </c>
      <c r="S43" s="233"/>
      <c r="T43" s="223"/>
    </row>
    <row r="44" spans="1:20" ht="9" customHeight="1">
      <c r="A44" s="230"/>
      <c r="B44" s="236">
        <v>0.08600000000000001</v>
      </c>
      <c r="C44" s="231">
        <v>44</v>
      </c>
      <c r="D44" s="232"/>
      <c r="E44" s="230" t="s">
        <v>214</v>
      </c>
      <c r="F44" s="236">
        <v>0.1875</v>
      </c>
      <c r="G44" s="231"/>
      <c r="H44" s="232"/>
      <c r="I44" s="230"/>
      <c r="J44" s="236">
        <v>0.315</v>
      </c>
      <c r="K44" s="231"/>
      <c r="L44" s="232">
        <v>8</v>
      </c>
      <c r="M44" s="230" t="s">
        <v>215</v>
      </c>
      <c r="N44" s="236">
        <v>0.6562</v>
      </c>
      <c r="O44" s="231"/>
      <c r="P44" s="232"/>
      <c r="Q44" s="230"/>
      <c r="R44" s="236">
        <v>1.2795</v>
      </c>
      <c r="S44" s="233">
        <v>32.5</v>
      </c>
      <c r="T44" s="223"/>
    </row>
    <row r="45" spans="1:20" ht="9" customHeight="1">
      <c r="A45" s="230"/>
      <c r="B45" s="236">
        <v>0.08660000000000001</v>
      </c>
      <c r="C45" s="231"/>
      <c r="D45" s="232">
        <v>2.2</v>
      </c>
      <c r="E45" s="230"/>
      <c r="F45" s="236">
        <v>0.189</v>
      </c>
      <c r="G45" s="231">
        <v>12</v>
      </c>
      <c r="H45" s="232">
        <v>4.8</v>
      </c>
      <c r="I45" s="230"/>
      <c r="J45" s="236">
        <v>0.316</v>
      </c>
      <c r="K45" s="231" t="s">
        <v>216</v>
      </c>
      <c r="L45" s="232"/>
      <c r="M45" s="230"/>
      <c r="N45" s="236">
        <v>0.6693</v>
      </c>
      <c r="O45" s="231"/>
      <c r="P45" s="232">
        <v>17</v>
      </c>
      <c r="Q45" s="230" t="s">
        <v>217</v>
      </c>
      <c r="R45" s="236">
        <v>1.2812</v>
      </c>
      <c r="S45" s="233"/>
      <c r="T45" s="223"/>
    </row>
    <row r="46" spans="1:20" ht="9" customHeight="1">
      <c r="A46" s="230"/>
      <c r="B46" s="236">
        <v>0.0886</v>
      </c>
      <c r="C46" s="231"/>
      <c r="D46" s="232">
        <v>2.25</v>
      </c>
      <c r="E46" s="230"/>
      <c r="F46" s="236">
        <v>0.191</v>
      </c>
      <c r="G46" s="231">
        <v>11</v>
      </c>
      <c r="H46" s="232"/>
      <c r="I46" s="230"/>
      <c r="J46" s="236">
        <v>0.3189</v>
      </c>
      <c r="K46" s="231"/>
      <c r="L46" s="232">
        <v>8.1</v>
      </c>
      <c r="M46" s="230" t="s">
        <v>218</v>
      </c>
      <c r="N46" s="236">
        <v>0.6719</v>
      </c>
      <c r="O46" s="231"/>
      <c r="P46" s="232"/>
      <c r="Q46" s="230" t="s">
        <v>219</v>
      </c>
      <c r="R46" s="236">
        <v>1.2969</v>
      </c>
      <c r="S46" s="233"/>
      <c r="T46" s="223"/>
    </row>
    <row r="47" spans="1:20" ht="9" customHeight="1">
      <c r="A47" s="230"/>
      <c r="B47" s="236">
        <v>0.089</v>
      </c>
      <c r="C47" s="231">
        <v>43</v>
      </c>
      <c r="D47" s="232"/>
      <c r="E47" s="230"/>
      <c r="F47" s="236">
        <v>0.1929</v>
      </c>
      <c r="G47" s="231"/>
      <c r="H47" s="232">
        <v>4.9</v>
      </c>
      <c r="I47" s="230"/>
      <c r="J47" s="236">
        <v>0.3228</v>
      </c>
      <c r="K47" s="231"/>
      <c r="L47" s="232">
        <v>8.2</v>
      </c>
      <c r="M47" s="230" t="s">
        <v>220</v>
      </c>
      <c r="N47" s="236">
        <v>0.6875</v>
      </c>
      <c r="O47" s="231"/>
      <c r="P47" s="232"/>
      <c r="Q47" s="230"/>
      <c r="R47" s="236">
        <v>1.2992</v>
      </c>
      <c r="S47" s="233">
        <v>33</v>
      </c>
      <c r="T47" s="223"/>
    </row>
    <row r="48" spans="1:20" ht="9" customHeight="1">
      <c r="A48" s="230"/>
      <c r="B48" s="236">
        <v>0.0906</v>
      </c>
      <c r="C48" s="231"/>
      <c r="D48" s="232">
        <v>2.3</v>
      </c>
      <c r="E48" s="230"/>
      <c r="F48" s="236">
        <v>0.1935</v>
      </c>
      <c r="G48" s="231">
        <v>10</v>
      </c>
      <c r="H48" s="232"/>
      <c r="I48" s="230"/>
      <c r="J48" s="236">
        <v>0.323</v>
      </c>
      <c r="K48" s="231" t="s">
        <v>221</v>
      </c>
      <c r="L48" s="232"/>
      <c r="M48" s="230"/>
      <c r="N48" s="236">
        <v>0.6890000000000001</v>
      </c>
      <c r="O48" s="231"/>
      <c r="P48" s="232">
        <v>17.5</v>
      </c>
      <c r="Q48" s="230" t="s">
        <v>222</v>
      </c>
      <c r="R48" s="236">
        <v>1.3125</v>
      </c>
      <c r="S48" s="233"/>
      <c r="T48" s="223"/>
    </row>
    <row r="49" spans="1:20" ht="9" customHeight="1">
      <c r="A49" s="230"/>
      <c r="B49" s="236">
        <v>0.0925</v>
      </c>
      <c r="C49" s="231"/>
      <c r="D49" s="232">
        <v>2.35</v>
      </c>
      <c r="E49" s="230"/>
      <c r="F49" s="236">
        <v>0.196</v>
      </c>
      <c r="G49" s="231">
        <v>9</v>
      </c>
      <c r="H49" s="232"/>
      <c r="I49" s="230"/>
      <c r="J49" s="236">
        <v>0.3248</v>
      </c>
      <c r="K49" s="231"/>
      <c r="L49" s="232">
        <v>8.25</v>
      </c>
      <c r="M49" s="230" t="s">
        <v>223</v>
      </c>
      <c r="N49" s="236">
        <v>0.7031</v>
      </c>
      <c r="O49" s="231"/>
      <c r="P49" s="232"/>
      <c r="Q49" s="230"/>
      <c r="R49" s="236">
        <v>1.3189</v>
      </c>
      <c r="S49" s="233">
        <v>33.5</v>
      </c>
      <c r="T49" s="223"/>
    </row>
    <row r="50" spans="1:20" ht="9" customHeight="1">
      <c r="A50" s="230"/>
      <c r="B50" s="236">
        <v>0.0935</v>
      </c>
      <c r="C50" s="231">
        <v>42</v>
      </c>
      <c r="D50" s="232"/>
      <c r="E50" s="230"/>
      <c r="F50" s="236">
        <v>0.1969</v>
      </c>
      <c r="G50" s="231"/>
      <c r="H50" s="232">
        <v>5</v>
      </c>
      <c r="I50" s="230"/>
      <c r="J50" s="236">
        <v>0.3268</v>
      </c>
      <c r="K50" s="231"/>
      <c r="L50" s="232">
        <v>8.3</v>
      </c>
      <c r="M50" s="230"/>
      <c r="N50" s="236">
        <v>0.7087</v>
      </c>
      <c r="O50" s="231"/>
      <c r="P50" s="232">
        <v>18</v>
      </c>
      <c r="Q50" s="230" t="s">
        <v>224</v>
      </c>
      <c r="R50" s="236">
        <v>1.3281</v>
      </c>
      <c r="S50" s="233"/>
      <c r="T50" s="223"/>
    </row>
    <row r="51" spans="1:20" ht="9" customHeight="1">
      <c r="A51" s="230" t="s">
        <v>225</v>
      </c>
      <c r="B51" s="236">
        <v>0.09380000000000001</v>
      </c>
      <c r="C51" s="231"/>
      <c r="D51" s="232"/>
      <c r="E51" s="230"/>
      <c r="F51" s="236">
        <v>0.199</v>
      </c>
      <c r="G51" s="231">
        <v>8</v>
      </c>
      <c r="H51" s="232"/>
      <c r="I51" s="230" t="s">
        <v>226</v>
      </c>
      <c r="J51" s="236">
        <v>0.3281</v>
      </c>
      <c r="K51" s="231"/>
      <c r="L51" s="232"/>
      <c r="M51" s="230" t="s">
        <v>227</v>
      </c>
      <c r="N51" s="236">
        <v>0.7188</v>
      </c>
      <c r="O51" s="231"/>
      <c r="P51" s="232"/>
      <c r="Q51" s="230"/>
      <c r="R51" s="236">
        <v>1.3386</v>
      </c>
      <c r="S51" s="233">
        <v>34</v>
      </c>
      <c r="T51" s="223"/>
    </row>
    <row r="52" spans="1:20" ht="9" customHeight="1">
      <c r="A52" s="230"/>
      <c r="B52" s="236">
        <v>0.0945</v>
      </c>
      <c r="C52" s="231"/>
      <c r="D52" s="232">
        <v>2.4</v>
      </c>
      <c r="E52" s="230"/>
      <c r="F52" s="236">
        <v>0.2008</v>
      </c>
      <c r="G52" s="231"/>
      <c r="H52" s="232">
        <v>5.1</v>
      </c>
      <c r="I52" s="230"/>
      <c r="J52" s="236">
        <v>0.3307</v>
      </c>
      <c r="K52" s="231"/>
      <c r="L52" s="232">
        <v>8.4</v>
      </c>
      <c r="M52" s="230"/>
      <c r="N52" s="236">
        <v>0.7283</v>
      </c>
      <c r="O52" s="231"/>
      <c r="P52" s="232">
        <v>18.5</v>
      </c>
      <c r="Q52" s="230" t="s">
        <v>228</v>
      </c>
      <c r="R52" s="236">
        <v>1.3438</v>
      </c>
      <c r="S52" s="233"/>
      <c r="T52" s="223"/>
    </row>
    <row r="53" spans="1:20" ht="9" customHeight="1">
      <c r="A53" s="230"/>
      <c r="B53" s="236">
        <v>0.096</v>
      </c>
      <c r="C53" s="231">
        <v>41</v>
      </c>
      <c r="D53" s="232"/>
      <c r="E53" s="230"/>
      <c r="F53" s="236">
        <v>0.201</v>
      </c>
      <c r="G53" s="231">
        <v>7</v>
      </c>
      <c r="H53" s="232"/>
      <c r="I53" s="230"/>
      <c r="J53" s="236">
        <v>0.332</v>
      </c>
      <c r="K53" s="231" t="s">
        <v>229</v>
      </c>
      <c r="L53" s="232"/>
      <c r="M53" s="230" t="s">
        <v>230</v>
      </c>
      <c r="N53" s="236">
        <v>0.7344</v>
      </c>
      <c r="O53" s="231"/>
      <c r="P53" s="232"/>
      <c r="Q53" s="230"/>
      <c r="R53" s="236">
        <v>1.3583</v>
      </c>
      <c r="S53" s="233">
        <v>34.5</v>
      </c>
      <c r="T53" s="223"/>
    </row>
    <row r="54" spans="1:20" ht="9" customHeight="1">
      <c r="A54" s="230"/>
      <c r="B54" s="236">
        <v>0.0965</v>
      </c>
      <c r="C54" s="231"/>
      <c r="D54" s="232">
        <v>2.45</v>
      </c>
      <c r="E54" s="230" t="s">
        <v>231</v>
      </c>
      <c r="F54" s="236">
        <v>0.2031</v>
      </c>
      <c r="G54" s="231"/>
      <c r="H54" s="232"/>
      <c r="I54" s="230"/>
      <c r="J54" s="236">
        <v>0.3346</v>
      </c>
      <c r="K54" s="231"/>
      <c r="L54" s="232">
        <v>8.5</v>
      </c>
      <c r="M54" s="230"/>
      <c r="N54" s="236">
        <v>0.748</v>
      </c>
      <c r="O54" s="231"/>
      <c r="P54" s="232">
        <v>19</v>
      </c>
      <c r="Q54" s="230" t="s">
        <v>232</v>
      </c>
      <c r="R54" s="236">
        <v>1.3594</v>
      </c>
      <c r="S54" s="233"/>
      <c r="T54" s="223"/>
    </row>
    <row r="55" spans="1:20" ht="9" customHeight="1">
      <c r="A55" s="230"/>
      <c r="B55" s="236">
        <v>0.098</v>
      </c>
      <c r="C55" s="231">
        <v>40</v>
      </c>
      <c r="D55" s="232"/>
      <c r="E55" s="230"/>
      <c r="F55" s="236">
        <v>0.20400000000000001</v>
      </c>
      <c r="G55" s="231">
        <v>6</v>
      </c>
      <c r="H55" s="232"/>
      <c r="I55" s="230"/>
      <c r="J55" s="236">
        <v>0.3386</v>
      </c>
      <c r="K55" s="231"/>
      <c r="L55" s="232">
        <v>8.6</v>
      </c>
      <c r="M55" s="230" t="s">
        <v>233</v>
      </c>
      <c r="N55" s="236">
        <v>0.75</v>
      </c>
      <c r="O55" s="231"/>
      <c r="P55" s="232"/>
      <c r="Q55" s="230" t="s">
        <v>234</v>
      </c>
      <c r="R55" s="236">
        <v>1.375</v>
      </c>
      <c r="S55" s="233"/>
      <c r="T55" s="223"/>
    </row>
    <row r="56" spans="1:20" ht="9" customHeight="1">
      <c r="A56" s="230"/>
      <c r="B56" s="236">
        <v>0.0984</v>
      </c>
      <c r="C56" s="231"/>
      <c r="D56" s="232">
        <v>2.5</v>
      </c>
      <c r="E56" s="230"/>
      <c r="F56" s="236">
        <v>0.2047</v>
      </c>
      <c r="G56" s="231"/>
      <c r="H56" s="232">
        <v>5.2</v>
      </c>
      <c r="I56" s="230"/>
      <c r="J56" s="236">
        <v>0.339</v>
      </c>
      <c r="K56" s="231" t="s">
        <v>235</v>
      </c>
      <c r="L56" s="232"/>
      <c r="M56" s="230" t="s">
        <v>236</v>
      </c>
      <c r="N56" s="236">
        <v>0.7656</v>
      </c>
      <c r="O56" s="231"/>
      <c r="P56" s="232"/>
      <c r="Q56" s="230"/>
      <c r="R56" s="236">
        <v>1.378</v>
      </c>
      <c r="S56" s="233">
        <v>35</v>
      </c>
      <c r="T56" s="223"/>
    </row>
    <row r="57" spans="1:20" ht="9" customHeight="1">
      <c r="A57" s="230"/>
      <c r="B57" s="236">
        <v>0.0995</v>
      </c>
      <c r="C57" s="231">
        <v>39</v>
      </c>
      <c r="D57" s="232"/>
      <c r="E57" s="230"/>
      <c r="F57" s="236">
        <v>0.20550000000000002</v>
      </c>
      <c r="G57" s="231">
        <v>5</v>
      </c>
      <c r="H57" s="232"/>
      <c r="I57" s="230"/>
      <c r="J57" s="236">
        <v>0.3425</v>
      </c>
      <c r="K57" s="231"/>
      <c r="L57" s="232">
        <v>8.7</v>
      </c>
      <c r="M57" s="230"/>
      <c r="N57" s="236">
        <v>0.7677</v>
      </c>
      <c r="O57" s="231"/>
      <c r="P57" s="232">
        <v>19.5</v>
      </c>
      <c r="Q57" s="230" t="s">
        <v>237</v>
      </c>
      <c r="R57" s="236">
        <v>1.3906</v>
      </c>
      <c r="S57" s="233"/>
      <c r="T57" s="223"/>
    </row>
    <row r="58" spans="1:20" ht="9" customHeight="1">
      <c r="A58" s="230"/>
      <c r="B58" s="236">
        <v>0.1015</v>
      </c>
      <c r="C58" s="231">
        <v>38</v>
      </c>
      <c r="D58" s="232"/>
      <c r="E58" s="230"/>
      <c r="F58" s="236">
        <v>0.2067</v>
      </c>
      <c r="G58" s="231"/>
      <c r="H58" s="232">
        <v>5.25</v>
      </c>
      <c r="I58" s="230" t="s">
        <v>238</v>
      </c>
      <c r="J58" s="236">
        <v>0.3438</v>
      </c>
      <c r="K58" s="231"/>
      <c r="L58" s="232"/>
      <c r="M58" s="230" t="s">
        <v>239</v>
      </c>
      <c r="N58" s="236">
        <v>0.7812</v>
      </c>
      <c r="O58" s="231"/>
      <c r="P58" s="232"/>
      <c r="Q58" s="230"/>
      <c r="R58" s="236">
        <v>1.3976</v>
      </c>
      <c r="S58" s="233">
        <v>35.5</v>
      </c>
      <c r="T58" s="223"/>
    </row>
    <row r="59" spans="1:20" ht="9" customHeight="1">
      <c r="A59" s="230"/>
      <c r="B59" s="236">
        <v>0.1024</v>
      </c>
      <c r="C59" s="231"/>
      <c r="D59" s="232">
        <v>2.6</v>
      </c>
      <c r="E59" s="230"/>
      <c r="F59" s="236">
        <v>0.2087</v>
      </c>
      <c r="G59" s="231"/>
      <c r="H59" s="232">
        <v>5.3</v>
      </c>
      <c r="I59" s="230"/>
      <c r="J59" s="236">
        <v>0.34450000000000003</v>
      </c>
      <c r="K59" s="231"/>
      <c r="L59" s="232">
        <v>8.75</v>
      </c>
      <c r="M59" s="230"/>
      <c r="N59" s="236">
        <v>0.7874</v>
      </c>
      <c r="O59" s="231"/>
      <c r="P59" s="232">
        <v>20</v>
      </c>
      <c r="Q59" s="230" t="s">
        <v>240</v>
      </c>
      <c r="R59" s="236">
        <v>1.4062</v>
      </c>
      <c r="S59" s="233"/>
      <c r="T59" s="223"/>
    </row>
    <row r="60" spans="1:20" ht="9" customHeight="1">
      <c r="A60" s="230"/>
      <c r="B60" s="236">
        <v>0.10400000000000001</v>
      </c>
      <c r="C60" s="231">
        <v>37</v>
      </c>
      <c r="D60" s="232"/>
      <c r="E60" s="230"/>
      <c r="F60" s="236">
        <v>0.209</v>
      </c>
      <c r="G60" s="231">
        <v>4</v>
      </c>
      <c r="H60" s="232"/>
      <c r="I60" s="230"/>
      <c r="J60" s="236">
        <v>0.34650000000000003</v>
      </c>
      <c r="K60" s="231"/>
      <c r="L60" s="232">
        <v>8.8</v>
      </c>
      <c r="M60" s="230" t="s">
        <v>241</v>
      </c>
      <c r="N60" s="236">
        <v>0.7969</v>
      </c>
      <c r="O60" s="231"/>
      <c r="P60" s="232"/>
      <c r="Q60" s="230"/>
      <c r="R60" s="236">
        <v>1.4173</v>
      </c>
      <c r="S60" s="233">
        <v>36</v>
      </c>
      <c r="T60" s="223"/>
    </row>
    <row r="61" spans="1:20" ht="9" customHeight="1">
      <c r="A61" s="230"/>
      <c r="B61" s="236">
        <v>0.1063</v>
      </c>
      <c r="C61" s="231"/>
      <c r="D61" s="232">
        <v>2.7</v>
      </c>
      <c r="E61" s="230"/>
      <c r="F61" s="236">
        <v>0.2126</v>
      </c>
      <c r="G61" s="231"/>
      <c r="H61" s="232">
        <v>5.4</v>
      </c>
      <c r="I61" s="230"/>
      <c r="J61" s="236">
        <v>0.34800000000000003</v>
      </c>
      <c r="K61" s="231" t="s">
        <v>242</v>
      </c>
      <c r="L61" s="232"/>
      <c r="M61" s="230"/>
      <c r="N61" s="236">
        <v>0.8071</v>
      </c>
      <c r="O61" s="231"/>
      <c r="P61" s="232">
        <v>20.5</v>
      </c>
      <c r="Q61" s="230" t="s">
        <v>243</v>
      </c>
      <c r="R61" s="236">
        <v>1.4219</v>
      </c>
      <c r="S61" s="233"/>
      <c r="T61" s="223"/>
    </row>
    <row r="62" spans="1:20" ht="9" customHeight="1">
      <c r="A62" s="230"/>
      <c r="B62" s="236">
        <v>0.1065</v>
      </c>
      <c r="C62" s="231">
        <v>36</v>
      </c>
      <c r="D62" s="232"/>
      <c r="E62" s="230"/>
      <c r="F62" s="236">
        <v>0.213</v>
      </c>
      <c r="G62" s="231">
        <v>3</v>
      </c>
      <c r="H62" s="232"/>
      <c r="I62" s="230"/>
      <c r="J62" s="236">
        <v>0.3504</v>
      </c>
      <c r="K62" s="231"/>
      <c r="L62" s="232">
        <v>8.9</v>
      </c>
      <c r="M62" s="230" t="s">
        <v>244</v>
      </c>
      <c r="N62" s="236">
        <v>0.8125</v>
      </c>
      <c r="O62" s="231"/>
      <c r="P62" s="232"/>
      <c r="Q62" s="230"/>
      <c r="R62" s="236">
        <v>1.437</v>
      </c>
      <c r="S62" s="233">
        <v>36.5</v>
      </c>
      <c r="T62" s="223"/>
    </row>
    <row r="63" spans="1:20" ht="9" customHeight="1">
      <c r="A63" s="230"/>
      <c r="B63" s="236">
        <v>0.1083</v>
      </c>
      <c r="C63" s="231"/>
      <c r="D63" s="232">
        <v>2.75</v>
      </c>
      <c r="E63" s="230"/>
      <c r="F63" s="236">
        <v>0.2165</v>
      </c>
      <c r="G63" s="231"/>
      <c r="H63" s="232">
        <v>5.5</v>
      </c>
      <c r="I63" s="230"/>
      <c r="J63" s="236">
        <v>0.3543</v>
      </c>
      <c r="K63" s="231"/>
      <c r="L63" s="232">
        <v>9</v>
      </c>
      <c r="M63" s="230"/>
      <c r="N63" s="236">
        <v>0.8268</v>
      </c>
      <c r="O63" s="231"/>
      <c r="P63" s="232">
        <v>21</v>
      </c>
      <c r="Q63" s="230" t="s">
        <v>245</v>
      </c>
      <c r="R63" s="236">
        <v>1.4375</v>
      </c>
      <c r="S63" s="233"/>
      <c r="T63" s="223"/>
    </row>
    <row r="64" spans="1:20" ht="9" customHeight="1">
      <c r="A64" s="230" t="s">
        <v>246</v>
      </c>
      <c r="B64" s="236">
        <v>0.1094</v>
      </c>
      <c r="C64" s="231"/>
      <c r="D64" s="232"/>
      <c r="E64" s="230" t="s">
        <v>247</v>
      </c>
      <c r="F64" s="236">
        <v>0.2188</v>
      </c>
      <c r="G64" s="231"/>
      <c r="H64" s="232"/>
      <c r="I64" s="230"/>
      <c r="J64" s="236">
        <v>0.358</v>
      </c>
      <c r="K64" s="231" t="s">
        <v>248</v>
      </c>
      <c r="L64" s="232"/>
      <c r="M64" s="230" t="s">
        <v>249</v>
      </c>
      <c r="N64" s="236">
        <v>0.8281</v>
      </c>
      <c r="O64" s="231"/>
      <c r="P64" s="232"/>
      <c r="Q64" s="230" t="s">
        <v>250</v>
      </c>
      <c r="R64" s="236">
        <v>1.4531</v>
      </c>
      <c r="S64" s="233"/>
      <c r="T64" s="223"/>
    </row>
    <row r="65" spans="1:20" ht="9" customHeight="1">
      <c r="A65" s="230"/>
      <c r="B65" s="236">
        <v>0.11</v>
      </c>
      <c r="C65" s="231">
        <v>35</v>
      </c>
      <c r="D65" s="232"/>
      <c r="E65" s="230"/>
      <c r="F65" s="236">
        <v>0.2205</v>
      </c>
      <c r="G65" s="231"/>
      <c r="H65" s="232">
        <v>5.6</v>
      </c>
      <c r="I65" s="230"/>
      <c r="J65" s="236">
        <v>0.3583</v>
      </c>
      <c r="K65" s="231"/>
      <c r="L65" s="232">
        <v>9.1</v>
      </c>
      <c r="M65" s="230" t="s">
        <v>251</v>
      </c>
      <c r="N65" s="236">
        <v>0.8438</v>
      </c>
      <c r="O65" s="231"/>
      <c r="P65" s="232"/>
      <c r="Q65" s="230"/>
      <c r="R65" s="236">
        <v>1.4567</v>
      </c>
      <c r="S65" s="233">
        <v>37</v>
      </c>
      <c r="T65" s="223"/>
    </row>
    <row r="66" spans="1:20" ht="9" customHeight="1">
      <c r="A66" s="230"/>
      <c r="B66" s="236">
        <v>0.1102</v>
      </c>
      <c r="C66" s="231"/>
      <c r="D66" s="232">
        <v>2.8</v>
      </c>
      <c r="E66" s="230"/>
      <c r="F66" s="236">
        <v>0.221</v>
      </c>
      <c r="G66" s="231">
        <v>2</v>
      </c>
      <c r="H66" s="232"/>
      <c r="I66" s="230" t="s">
        <v>252</v>
      </c>
      <c r="J66" s="236">
        <v>0.3594</v>
      </c>
      <c r="K66" s="231"/>
      <c r="L66" s="232"/>
      <c r="M66" s="230"/>
      <c r="N66" s="236">
        <v>0.8465</v>
      </c>
      <c r="O66" s="231"/>
      <c r="P66" s="232">
        <v>21.5</v>
      </c>
      <c r="Q66" s="230" t="s">
        <v>253</v>
      </c>
      <c r="R66" s="236">
        <v>1.4688</v>
      </c>
      <c r="S66" s="233"/>
      <c r="T66" s="223"/>
    </row>
    <row r="67" spans="1:20" ht="9" customHeight="1">
      <c r="A67" s="230"/>
      <c r="B67" s="236">
        <v>0.111</v>
      </c>
      <c r="C67" s="231">
        <v>34</v>
      </c>
      <c r="D67" s="232"/>
      <c r="E67" s="230"/>
      <c r="F67" s="236">
        <v>0.2244</v>
      </c>
      <c r="G67" s="231"/>
      <c r="H67" s="232">
        <v>5.7</v>
      </c>
      <c r="I67" s="230"/>
      <c r="J67" s="236">
        <v>0.3622</v>
      </c>
      <c r="K67" s="231"/>
      <c r="L67" s="232">
        <v>9.2</v>
      </c>
      <c r="M67" s="230" t="s">
        <v>254</v>
      </c>
      <c r="N67" s="236">
        <v>0.8594</v>
      </c>
      <c r="O67" s="231"/>
      <c r="P67" s="232"/>
      <c r="Q67" s="230"/>
      <c r="R67" s="236">
        <v>1.4764</v>
      </c>
      <c r="S67" s="233">
        <v>37.5</v>
      </c>
      <c r="T67" s="223"/>
    </row>
    <row r="68" spans="1:20" ht="9" customHeight="1">
      <c r="A68" s="230"/>
      <c r="B68" s="236">
        <v>0.113</v>
      </c>
      <c r="C68" s="231">
        <v>33</v>
      </c>
      <c r="D68" s="232"/>
      <c r="E68" s="230"/>
      <c r="F68" s="236">
        <v>0.2264</v>
      </c>
      <c r="G68" s="231"/>
      <c r="H68" s="232">
        <v>5.75</v>
      </c>
      <c r="I68" s="230"/>
      <c r="J68" s="236">
        <v>0.3642</v>
      </c>
      <c r="K68" s="231"/>
      <c r="L68" s="232">
        <v>9.25</v>
      </c>
      <c r="M68" s="230"/>
      <c r="N68" s="236">
        <v>0.8661</v>
      </c>
      <c r="O68" s="231"/>
      <c r="P68" s="232">
        <v>22</v>
      </c>
      <c r="Q68" s="230" t="s">
        <v>255</v>
      </c>
      <c r="R68" s="236">
        <v>1.4844</v>
      </c>
      <c r="S68" s="233"/>
      <c r="T68" s="223"/>
    </row>
    <row r="69" spans="1:20" ht="9" customHeight="1">
      <c r="A69" s="230"/>
      <c r="B69" s="236">
        <v>0.1142</v>
      </c>
      <c r="C69" s="231"/>
      <c r="D69" s="232">
        <v>2.9</v>
      </c>
      <c r="E69" s="230"/>
      <c r="F69" s="236">
        <v>0.228</v>
      </c>
      <c r="G69" s="231">
        <v>1</v>
      </c>
      <c r="H69" s="232"/>
      <c r="I69" s="230"/>
      <c r="J69" s="236">
        <v>0.3661</v>
      </c>
      <c r="K69" s="231"/>
      <c r="L69" s="232">
        <v>9.3</v>
      </c>
      <c r="M69" s="230" t="s">
        <v>256</v>
      </c>
      <c r="N69" s="236">
        <v>0.875</v>
      </c>
      <c r="O69" s="231"/>
      <c r="P69" s="232"/>
      <c r="Q69" s="230"/>
      <c r="R69" s="236">
        <v>1.4961</v>
      </c>
      <c r="S69" s="233">
        <v>38</v>
      </c>
      <c r="T69" s="223"/>
    </row>
    <row r="70" spans="1:20" ht="9" customHeight="1">
      <c r="A70" s="230"/>
      <c r="B70" s="236">
        <v>0.116</v>
      </c>
      <c r="C70" s="231">
        <v>32</v>
      </c>
      <c r="D70" s="232"/>
      <c r="E70" s="230"/>
      <c r="F70" s="236">
        <v>0.2283</v>
      </c>
      <c r="G70" s="231"/>
      <c r="H70" s="232">
        <v>5.8</v>
      </c>
      <c r="I70" s="230"/>
      <c r="J70" s="236">
        <v>0.368</v>
      </c>
      <c r="K70" s="231" t="s">
        <v>257</v>
      </c>
      <c r="L70" s="232"/>
      <c r="M70" s="230"/>
      <c r="N70" s="236">
        <v>0.8858</v>
      </c>
      <c r="O70" s="231"/>
      <c r="P70" s="232">
        <v>22.5</v>
      </c>
      <c r="Q70" s="230" t="s">
        <v>258</v>
      </c>
      <c r="R70" s="236">
        <v>1.5</v>
      </c>
      <c r="S70" s="233"/>
      <c r="T70" s="223"/>
    </row>
    <row r="71" spans="1:20" ht="9" customHeight="1">
      <c r="A71" s="230"/>
      <c r="B71" s="236">
        <v>0.1181</v>
      </c>
      <c r="C71" s="231"/>
      <c r="D71" s="232">
        <v>3</v>
      </c>
      <c r="E71" s="230"/>
      <c r="F71" s="236">
        <v>0.2323</v>
      </c>
      <c r="G71" s="231"/>
      <c r="H71" s="232">
        <v>5.9</v>
      </c>
      <c r="I71" s="230"/>
      <c r="J71" s="236">
        <v>0.3701</v>
      </c>
      <c r="K71" s="231"/>
      <c r="L71" s="232">
        <v>9.4</v>
      </c>
      <c r="M71" s="230" t="s">
        <v>259</v>
      </c>
      <c r="N71" s="236">
        <v>0.8906</v>
      </c>
      <c r="O71" s="231"/>
      <c r="P71" s="232"/>
      <c r="Q71" s="230" t="s">
        <v>260</v>
      </c>
      <c r="R71" s="238">
        <v>1.5156</v>
      </c>
      <c r="S71" s="255"/>
      <c r="T71" s="223"/>
    </row>
    <row r="72" spans="1:20" ht="9" customHeight="1" thickBot="1">
      <c r="A72" s="228"/>
      <c r="B72" s="237">
        <v>0.12</v>
      </c>
      <c r="C72" s="229">
        <v>31</v>
      </c>
      <c r="D72" s="235"/>
      <c r="E72" s="228"/>
      <c r="F72" s="237">
        <v>0.234</v>
      </c>
      <c r="G72" s="229" t="s">
        <v>261</v>
      </c>
      <c r="H72" s="235"/>
      <c r="I72" s="228"/>
      <c r="J72" s="237">
        <v>0.374</v>
      </c>
      <c r="K72" s="229"/>
      <c r="L72" s="235">
        <v>9.5</v>
      </c>
      <c r="M72" s="228"/>
      <c r="N72" s="237">
        <v>0.9055</v>
      </c>
      <c r="O72" s="229"/>
      <c r="P72" s="235">
        <v>23</v>
      </c>
      <c r="Q72" s="228"/>
      <c r="R72" s="239">
        <v>1.5157</v>
      </c>
      <c r="S72" s="256">
        <v>38.5</v>
      </c>
      <c r="T72" s="223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74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7" width="4.21484375" style="224" customWidth="1"/>
    <col min="18" max="18" width="5.21484375" style="224" customWidth="1"/>
    <col min="19" max="19" width="2.21484375" style="224" customWidth="1"/>
    <col min="20" max="20" width="4.6640625" style="224" customWidth="1"/>
    <col min="21" max="16384" width="8.88671875" style="224" customWidth="1"/>
  </cols>
  <sheetData>
    <row r="1" spans="1:20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127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6" t="s">
        <v>143</v>
      </c>
      <c r="T1" s="227" t="s">
        <v>142</v>
      </c>
    </row>
    <row r="2" spans="1:20" ht="9" customHeight="1">
      <c r="A2" s="230"/>
      <c r="B2" s="236">
        <v>0.0059</v>
      </c>
      <c r="C2" s="231">
        <v>97</v>
      </c>
      <c r="D2" s="240">
        <v>0.15</v>
      </c>
      <c r="E2" s="230"/>
      <c r="F2" s="236">
        <v>0.0453</v>
      </c>
      <c r="G2" s="231"/>
      <c r="H2" s="240">
        <v>1.15</v>
      </c>
      <c r="I2" s="230"/>
      <c r="J2" s="236">
        <v>0.1378</v>
      </c>
      <c r="K2" s="231"/>
      <c r="L2" s="240">
        <v>3.5</v>
      </c>
      <c r="M2" s="230"/>
      <c r="N2" s="236">
        <v>0.252</v>
      </c>
      <c r="O2" s="231"/>
      <c r="P2" s="240">
        <v>6.4</v>
      </c>
      <c r="Q2" s="230" t="s">
        <v>165</v>
      </c>
      <c r="R2" s="236">
        <v>0.4062</v>
      </c>
      <c r="S2" s="241"/>
      <c r="T2" s="242"/>
    </row>
    <row r="3" spans="1:20" ht="9" customHeight="1">
      <c r="A3" s="230"/>
      <c r="B3" s="236">
        <v>0.0063</v>
      </c>
      <c r="C3" s="231">
        <v>96</v>
      </c>
      <c r="D3" s="240">
        <v>0.16</v>
      </c>
      <c r="E3" s="230"/>
      <c r="F3" s="236">
        <v>0.0465</v>
      </c>
      <c r="G3" s="231">
        <v>56</v>
      </c>
      <c r="H3" s="240"/>
      <c r="I3" s="230"/>
      <c r="J3" s="236">
        <v>0.1405</v>
      </c>
      <c r="K3" s="231">
        <v>28</v>
      </c>
      <c r="L3" s="240"/>
      <c r="M3" s="230"/>
      <c r="N3" s="236">
        <v>0.2559</v>
      </c>
      <c r="O3" s="231"/>
      <c r="P3" s="240">
        <v>6.5</v>
      </c>
      <c r="Q3" s="230"/>
      <c r="R3" s="236">
        <v>0.41300000000000003</v>
      </c>
      <c r="S3" s="243" t="s">
        <v>102</v>
      </c>
      <c r="T3" s="242"/>
    </row>
    <row r="4" spans="1:20" ht="9" customHeight="1">
      <c r="A4" s="230"/>
      <c r="B4" s="236">
        <v>0.0067</v>
      </c>
      <c r="C4" s="231">
        <v>95</v>
      </c>
      <c r="D4" s="240">
        <v>0.17</v>
      </c>
      <c r="E4" s="230" t="s">
        <v>157</v>
      </c>
      <c r="F4" s="236">
        <v>0.046900000000000004</v>
      </c>
      <c r="G4" s="231"/>
      <c r="H4" s="240"/>
      <c r="I4" s="230" t="s">
        <v>162</v>
      </c>
      <c r="J4" s="236">
        <v>0.1406</v>
      </c>
      <c r="K4" s="231"/>
      <c r="L4" s="240"/>
      <c r="M4" s="230"/>
      <c r="N4" s="236">
        <v>0.257</v>
      </c>
      <c r="O4" s="231" t="s">
        <v>164</v>
      </c>
      <c r="P4" s="240"/>
      <c r="Q4" s="230"/>
      <c r="R4" s="236">
        <v>0.4134</v>
      </c>
      <c r="S4" s="243"/>
      <c r="T4" s="242">
        <v>10.5</v>
      </c>
    </row>
    <row r="5" spans="1:20" ht="9" customHeight="1">
      <c r="A5" s="230"/>
      <c r="B5" s="236">
        <v>0.0071</v>
      </c>
      <c r="C5" s="231">
        <v>94</v>
      </c>
      <c r="D5" s="240">
        <v>0.18</v>
      </c>
      <c r="E5" s="230"/>
      <c r="F5" s="236">
        <v>0.0472</v>
      </c>
      <c r="G5" s="231"/>
      <c r="H5" s="240">
        <v>1.2</v>
      </c>
      <c r="I5" s="230"/>
      <c r="J5" s="236">
        <v>0.1417</v>
      </c>
      <c r="K5" s="231"/>
      <c r="L5" s="240">
        <v>3.6</v>
      </c>
      <c r="M5" s="230"/>
      <c r="N5" s="236">
        <v>0.2598</v>
      </c>
      <c r="O5" s="231"/>
      <c r="P5" s="240">
        <v>6.6</v>
      </c>
      <c r="Q5" s="230" t="s">
        <v>169</v>
      </c>
      <c r="R5" s="236">
        <v>0.4219</v>
      </c>
      <c r="S5" s="243"/>
      <c r="T5" s="242"/>
    </row>
    <row r="6" spans="1:20" ht="9" customHeight="1">
      <c r="A6" s="230"/>
      <c r="B6" s="236">
        <v>0.0075</v>
      </c>
      <c r="C6" s="231">
        <v>93</v>
      </c>
      <c r="D6" s="240">
        <v>0.19</v>
      </c>
      <c r="E6" s="230"/>
      <c r="F6" s="236">
        <v>0.0492</v>
      </c>
      <c r="G6" s="231"/>
      <c r="H6" s="240">
        <v>1.25</v>
      </c>
      <c r="I6" s="230"/>
      <c r="J6" s="236">
        <v>0.14400000000000002</v>
      </c>
      <c r="K6" s="231">
        <v>27</v>
      </c>
      <c r="L6" s="240"/>
      <c r="M6" s="230"/>
      <c r="N6" s="236">
        <v>0.261</v>
      </c>
      <c r="O6" s="231" t="s">
        <v>167</v>
      </c>
      <c r="P6" s="240"/>
      <c r="Q6" s="230"/>
      <c r="R6" s="236">
        <v>0.4331</v>
      </c>
      <c r="S6" s="243"/>
      <c r="T6" s="242">
        <v>11</v>
      </c>
    </row>
    <row r="7" spans="1:20" ht="9" customHeight="1">
      <c r="A7" s="230"/>
      <c r="B7" s="236">
        <v>0.0079</v>
      </c>
      <c r="C7" s="231">
        <v>92</v>
      </c>
      <c r="D7" s="240">
        <v>0.2</v>
      </c>
      <c r="E7" s="230"/>
      <c r="F7" s="236">
        <v>0.0512</v>
      </c>
      <c r="G7" s="231"/>
      <c r="H7" s="240">
        <v>1.3</v>
      </c>
      <c r="I7" s="230"/>
      <c r="J7" s="236">
        <v>0.1457</v>
      </c>
      <c r="K7" s="231"/>
      <c r="L7" s="240">
        <v>3.7</v>
      </c>
      <c r="M7" s="230"/>
      <c r="N7" s="236">
        <v>0.2638</v>
      </c>
      <c r="O7" s="231"/>
      <c r="P7" s="240">
        <v>6.7</v>
      </c>
      <c r="Q7" s="230" t="s">
        <v>172</v>
      </c>
      <c r="R7" s="236">
        <v>0.4375</v>
      </c>
      <c r="S7" s="243"/>
      <c r="T7" s="242"/>
    </row>
    <row r="8" spans="1:20" ht="9" customHeight="1">
      <c r="A8" s="230"/>
      <c r="B8" s="236">
        <v>0.0083</v>
      </c>
      <c r="C8" s="231">
        <v>91</v>
      </c>
      <c r="D8" s="240">
        <v>0.21</v>
      </c>
      <c r="E8" s="230"/>
      <c r="F8" s="236">
        <v>0.052000000000000005</v>
      </c>
      <c r="G8" s="231">
        <v>55</v>
      </c>
      <c r="H8" s="240"/>
      <c r="I8" s="230"/>
      <c r="J8" s="236">
        <v>0.147</v>
      </c>
      <c r="K8" s="231">
        <v>26</v>
      </c>
      <c r="L8" s="240"/>
      <c r="M8" s="230" t="s">
        <v>170</v>
      </c>
      <c r="N8" s="236">
        <v>0.2656</v>
      </c>
      <c r="O8" s="231"/>
      <c r="P8" s="240"/>
      <c r="Q8" s="230"/>
      <c r="R8" s="236">
        <v>0.4528</v>
      </c>
      <c r="S8" s="243"/>
      <c r="T8" s="242">
        <v>11.5</v>
      </c>
    </row>
    <row r="9" spans="1:20" ht="9" customHeight="1">
      <c r="A9" s="230"/>
      <c r="B9" s="236">
        <v>0.0087</v>
      </c>
      <c r="C9" s="231">
        <v>90</v>
      </c>
      <c r="D9" s="240">
        <v>0.22</v>
      </c>
      <c r="E9" s="230"/>
      <c r="F9" s="236">
        <v>0.0531</v>
      </c>
      <c r="G9" s="231"/>
      <c r="H9" s="240">
        <v>1.35</v>
      </c>
      <c r="I9" s="230"/>
      <c r="J9" s="236">
        <v>0.1476</v>
      </c>
      <c r="K9" s="231"/>
      <c r="L9" s="240">
        <v>3.75</v>
      </c>
      <c r="M9" s="230"/>
      <c r="N9" s="236">
        <v>0.2657</v>
      </c>
      <c r="O9" s="231"/>
      <c r="P9" s="240">
        <v>6.75</v>
      </c>
      <c r="Q9" s="230" t="s">
        <v>175</v>
      </c>
      <c r="R9" s="236">
        <v>0.4531</v>
      </c>
      <c r="S9" s="243"/>
      <c r="T9" s="242"/>
    </row>
    <row r="10" spans="1:20" ht="9" customHeight="1">
      <c r="A10" s="230"/>
      <c r="B10" s="236">
        <v>0.0091</v>
      </c>
      <c r="C10" s="231">
        <v>89</v>
      </c>
      <c r="D10" s="240">
        <v>0.23</v>
      </c>
      <c r="E10" s="230"/>
      <c r="F10" s="236">
        <v>0.055</v>
      </c>
      <c r="G10" s="231">
        <v>54</v>
      </c>
      <c r="H10" s="240"/>
      <c r="I10" s="230"/>
      <c r="J10" s="236">
        <v>0.1495</v>
      </c>
      <c r="K10" s="231">
        <v>25</v>
      </c>
      <c r="L10" s="240"/>
      <c r="M10" s="230"/>
      <c r="N10" s="236">
        <v>0.266</v>
      </c>
      <c r="O10" s="231" t="s">
        <v>174</v>
      </c>
      <c r="P10" s="240"/>
      <c r="Q10" s="230" t="s">
        <v>178</v>
      </c>
      <c r="R10" s="236">
        <v>0.4688</v>
      </c>
      <c r="S10" s="243"/>
      <c r="T10" s="242"/>
    </row>
    <row r="11" spans="1:20" ht="9" customHeight="1">
      <c r="A11" s="230"/>
      <c r="B11" s="236">
        <v>0.0094</v>
      </c>
      <c r="C11" s="231"/>
      <c r="D11" s="240">
        <v>0.24</v>
      </c>
      <c r="E11" s="230"/>
      <c r="F11" s="236">
        <v>0.0551</v>
      </c>
      <c r="G11" s="231"/>
      <c r="H11" s="240">
        <v>1.4</v>
      </c>
      <c r="I11" s="230"/>
      <c r="J11" s="236">
        <v>0.1496</v>
      </c>
      <c r="K11" s="231"/>
      <c r="L11" s="240">
        <v>3.8</v>
      </c>
      <c r="M11" s="230"/>
      <c r="N11" s="236">
        <v>0.2677</v>
      </c>
      <c r="O11" s="231"/>
      <c r="P11" s="240">
        <v>6.8</v>
      </c>
      <c r="Q11" s="230"/>
      <c r="R11" s="236">
        <v>0.4724</v>
      </c>
      <c r="S11" s="243"/>
      <c r="T11" s="242">
        <v>12</v>
      </c>
    </row>
    <row r="12" spans="1:20" ht="9" customHeight="1">
      <c r="A12" s="230"/>
      <c r="B12" s="236">
        <v>0.0095</v>
      </c>
      <c r="C12" s="231">
        <v>88</v>
      </c>
      <c r="D12" s="240"/>
      <c r="E12" s="230"/>
      <c r="F12" s="236">
        <v>0.057100000000000005</v>
      </c>
      <c r="G12" s="231"/>
      <c r="H12" s="240">
        <v>1.45</v>
      </c>
      <c r="I12" s="230"/>
      <c r="J12" s="236">
        <v>0.152</v>
      </c>
      <c r="K12" s="231">
        <v>24</v>
      </c>
      <c r="L12" s="240"/>
      <c r="M12" s="230"/>
      <c r="N12" s="236">
        <v>0.2717</v>
      </c>
      <c r="O12" s="231"/>
      <c r="P12" s="240">
        <v>6.9</v>
      </c>
      <c r="Q12" s="230" t="s">
        <v>182</v>
      </c>
      <c r="R12" s="236">
        <v>0.4844</v>
      </c>
      <c r="S12" s="243"/>
      <c r="T12" s="242"/>
    </row>
    <row r="13" spans="1:20" ht="9" customHeight="1">
      <c r="A13" s="230"/>
      <c r="B13" s="236">
        <v>0.0098</v>
      </c>
      <c r="C13" s="231"/>
      <c r="D13" s="240">
        <v>0.25</v>
      </c>
      <c r="E13" s="230"/>
      <c r="F13" s="236">
        <v>0.0591</v>
      </c>
      <c r="G13" s="231"/>
      <c r="H13" s="240">
        <v>1.5</v>
      </c>
      <c r="I13" s="230"/>
      <c r="J13" s="236">
        <v>0.1535</v>
      </c>
      <c r="K13" s="231"/>
      <c r="L13" s="240">
        <v>3.9</v>
      </c>
      <c r="M13" s="230"/>
      <c r="N13" s="236">
        <v>0.272</v>
      </c>
      <c r="O13" s="231" t="s">
        <v>180</v>
      </c>
      <c r="P13" s="240"/>
      <c r="Q13" s="230"/>
      <c r="R13" s="236">
        <v>0.4921</v>
      </c>
      <c r="S13" s="243"/>
      <c r="T13" s="242">
        <v>12.5</v>
      </c>
    </row>
    <row r="14" spans="1:20" ht="9" customHeight="1">
      <c r="A14" s="230"/>
      <c r="B14" s="236">
        <v>0.01</v>
      </c>
      <c r="C14" s="231">
        <v>87</v>
      </c>
      <c r="D14" s="240"/>
      <c r="E14" s="230"/>
      <c r="F14" s="236">
        <v>0.059500000000000004</v>
      </c>
      <c r="G14" s="231">
        <v>53</v>
      </c>
      <c r="H14" s="240"/>
      <c r="I14" s="230"/>
      <c r="J14" s="236">
        <v>0.154</v>
      </c>
      <c r="K14" s="231">
        <v>23</v>
      </c>
      <c r="L14" s="240"/>
      <c r="M14" s="230"/>
      <c r="N14" s="236">
        <v>0.2756</v>
      </c>
      <c r="O14" s="231"/>
      <c r="P14" s="240">
        <v>7</v>
      </c>
      <c r="Q14" s="230" t="s">
        <v>185</v>
      </c>
      <c r="R14" s="236">
        <v>0.5</v>
      </c>
      <c r="S14" s="243"/>
      <c r="T14" s="242"/>
    </row>
    <row r="15" spans="1:20" ht="9" customHeight="1">
      <c r="A15" s="230"/>
      <c r="B15" s="236">
        <v>0.0102</v>
      </c>
      <c r="C15" s="231"/>
      <c r="D15" s="240">
        <v>0.26</v>
      </c>
      <c r="E15" s="230"/>
      <c r="F15" s="236">
        <v>0.061000000000000006</v>
      </c>
      <c r="G15" s="231"/>
      <c r="H15" s="240">
        <v>1.55</v>
      </c>
      <c r="I15" s="230" t="s">
        <v>179</v>
      </c>
      <c r="J15" s="236">
        <v>0.1562</v>
      </c>
      <c r="K15" s="231"/>
      <c r="L15" s="240"/>
      <c r="M15" s="230"/>
      <c r="N15" s="236">
        <v>0.277</v>
      </c>
      <c r="O15" s="231" t="s">
        <v>183</v>
      </c>
      <c r="P15" s="240"/>
      <c r="Q15" s="230"/>
      <c r="R15" s="236">
        <v>0.5118</v>
      </c>
      <c r="S15" s="243"/>
      <c r="T15" s="242">
        <v>13</v>
      </c>
    </row>
    <row r="16" spans="1:20" ht="9" customHeight="1">
      <c r="A16" s="230"/>
      <c r="B16" s="236">
        <v>0.0105</v>
      </c>
      <c r="C16" s="231">
        <v>86</v>
      </c>
      <c r="D16" s="240"/>
      <c r="E16" s="230" t="s">
        <v>177</v>
      </c>
      <c r="F16" s="236">
        <v>0.0625</v>
      </c>
      <c r="G16" s="231"/>
      <c r="H16" s="240"/>
      <c r="I16" s="230"/>
      <c r="J16" s="236">
        <v>0.157</v>
      </c>
      <c r="K16" s="231">
        <v>22</v>
      </c>
      <c r="L16" s="240"/>
      <c r="M16" s="230"/>
      <c r="N16" s="236">
        <v>0.2795</v>
      </c>
      <c r="O16" s="231"/>
      <c r="P16" s="240">
        <v>7.1</v>
      </c>
      <c r="Q16" s="230" t="s">
        <v>189</v>
      </c>
      <c r="R16" s="236">
        <v>0.5156</v>
      </c>
      <c r="S16" s="243"/>
      <c r="T16" s="242"/>
    </row>
    <row r="17" spans="1:20" ht="9" customHeight="1">
      <c r="A17" s="230"/>
      <c r="B17" s="236">
        <v>0.0106</v>
      </c>
      <c r="C17" s="231"/>
      <c r="D17" s="240">
        <v>0.27</v>
      </c>
      <c r="E17" s="230"/>
      <c r="F17" s="236">
        <v>0.063</v>
      </c>
      <c r="G17" s="231"/>
      <c r="H17" s="240">
        <v>1.6</v>
      </c>
      <c r="I17" s="230"/>
      <c r="J17" s="236">
        <v>0.1575</v>
      </c>
      <c r="K17" s="231"/>
      <c r="L17" s="240">
        <v>4</v>
      </c>
      <c r="M17" s="230"/>
      <c r="N17" s="236">
        <v>0.281</v>
      </c>
      <c r="O17" s="231" t="s">
        <v>186</v>
      </c>
      <c r="P17" s="240"/>
      <c r="Q17" s="230" t="s">
        <v>191</v>
      </c>
      <c r="R17" s="236">
        <v>0.5312</v>
      </c>
      <c r="S17" s="243"/>
      <c r="T17" s="242"/>
    </row>
    <row r="18" spans="1:20" ht="9" customHeight="1">
      <c r="A18" s="230"/>
      <c r="B18" s="236">
        <v>0.011</v>
      </c>
      <c r="C18" s="231">
        <v>85</v>
      </c>
      <c r="D18" s="240">
        <v>0.28</v>
      </c>
      <c r="E18" s="230"/>
      <c r="F18" s="236">
        <v>0.0635</v>
      </c>
      <c r="G18" s="231">
        <v>52</v>
      </c>
      <c r="H18" s="240"/>
      <c r="I18" s="230"/>
      <c r="J18" s="236">
        <v>0.159</v>
      </c>
      <c r="K18" s="231">
        <v>21</v>
      </c>
      <c r="L18" s="240"/>
      <c r="M18" s="230" t="s">
        <v>188</v>
      </c>
      <c r="N18" s="236">
        <v>0.2812</v>
      </c>
      <c r="O18" s="231"/>
      <c r="P18" s="240"/>
      <c r="Q18" s="230"/>
      <c r="R18" s="236">
        <v>0.5315</v>
      </c>
      <c r="S18" s="243"/>
      <c r="T18" s="242">
        <v>13.5</v>
      </c>
    </row>
    <row r="19" spans="1:20" ht="9" customHeight="1">
      <c r="A19" s="230"/>
      <c r="B19" s="236">
        <v>0.0114</v>
      </c>
      <c r="C19" s="231"/>
      <c r="D19" s="240">
        <v>0.29</v>
      </c>
      <c r="E19" s="230"/>
      <c r="F19" s="236">
        <v>0.065</v>
      </c>
      <c r="G19" s="231"/>
      <c r="H19" s="240">
        <v>1.65</v>
      </c>
      <c r="I19" s="230"/>
      <c r="J19" s="236">
        <v>0.161</v>
      </c>
      <c r="K19" s="231">
        <v>20</v>
      </c>
      <c r="L19" s="240"/>
      <c r="M19" s="230"/>
      <c r="N19" s="236">
        <v>0.28350000000000003</v>
      </c>
      <c r="O19" s="231"/>
      <c r="P19" s="240">
        <v>7.2</v>
      </c>
      <c r="Q19" s="230" t="s">
        <v>193</v>
      </c>
      <c r="R19" s="236">
        <v>0.5469</v>
      </c>
      <c r="S19" s="243"/>
      <c r="T19" s="242"/>
    </row>
    <row r="20" spans="1:20" ht="9" customHeight="1">
      <c r="A20" s="230"/>
      <c r="B20" s="236">
        <v>0.0115</v>
      </c>
      <c r="C20" s="231">
        <v>84</v>
      </c>
      <c r="D20" s="240"/>
      <c r="E20" s="230"/>
      <c r="F20" s="236">
        <v>0.0669</v>
      </c>
      <c r="G20" s="231"/>
      <c r="H20" s="240">
        <v>1.7</v>
      </c>
      <c r="I20" s="230"/>
      <c r="J20" s="236">
        <v>0.1614</v>
      </c>
      <c r="K20" s="231"/>
      <c r="L20" s="240">
        <v>4.1</v>
      </c>
      <c r="M20" s="230"/>
      <c r="N20" s="236">
        <v>0.2854</v>
      </c>
      <c r="O20" s="231"/>
      <c r="P20" s="240">
        <v>7.25</v>
      </c>
      <c r="Q20" s="230"/>
      <c r="R20" s="236">
        <v>0.5512</v>
      </c>
      <c r="S20" s="243"/>
      <c r="T20" s="242">
        <v>14</v>
      </c>
    </row>
    <row r="21" spans="1:20" ht="9" customHeight="1">
      <c r="A21" s="230"/>
      <c r="B21" s="236">
        <v>0.0118</v>
      </c>
      <c r="C21" s="231"/>
      <c r="D21" s="240">
        <v>0.3</v>
      </c>
      <c r="E21" s="230"/>
      <c r="F21" s="236">
        <v>0.067</v>
      </c>
      <c r="G21" s="231">
        <v>51</v>
      </c>
      <c r="H21" s="240"/>
      <c r="I21" s="230"/>
      <c r="J21" s="236">
        <v>0.1654</v>
      </c>
      <c r="K21" s="231"/>
      <c r="L21" s="240">
        <v>4.2</v>
      </c>
      <c r="M21" s="230"/>
      <c r="N21" s="236">
        <v>0.2874</v>
      </c>
      <c r="O21" s="231"/>
      <c r="P21" s="240">
        <v>7.3</v>
      </c>
      <c r="Q21" s="230" t="s">
        <v>196</v>
      </c>
      <c r="R21" s="236">
        <v>0.5625</v>
      </c>
      <c r="S21" s="243"/>
      <c r="T21" s="242"/>
    </row>
    <row r="22" spans="1:20" ht="9" customHeight="1">
      <c r="A22" s="230"/>
      <c r="B22" s="236">
        <v>0.012</v>
      </c>
      <c r="C22" s="231">
        <v>83</v>
      </c>
      <c r="D22" s="240"/>
      <c r="E22" s="230"/>
      <c r="F22" s="236">
        <v>0.0689</v>
      </c>
      <c r="G22" s="231"/>
      <c r="H22" s="240">
        <v>1.75</v>
      </c>
      <c r="I22" s="230"/>
      <c r="J22" s="236">
        <v>0.166</v>
      </c>
      <c r="K22" s="231">
        <v>19</v>
      </c>
      <c r="L22" s="240"/>
      <c r="M22" s="230"/>
      <c r="N22" s="236">
        <v>0.29</v>
      </c>
      <c r="O22" s="231" t="s">
        <v>194</v>
      </c>
      <c r="P22" s="240"/>
      <c r="Q22" s="230"/>
      <c r="R22" s="236">
        <v>0.5709</v>
      </c>
      <c r="S22" s="243"/>
      <c r="T22" s="242">
        <v>14.5</v>
      </c>
    </row>
    <row r="23" spans="1:20" ht="9" customHeight="1">
      <c r="A23" s="230"/>
      <c r="B23" s="236">
        <v>0.0125</v>
      </c>
      <c r="C23" s="231">
        <v>82</v>
      </c>
      <c r="D23" s="240"/>
      <c r="E23" s="230"/>
      <c r="F23" s="236">
        <v>0.07</v>
      </c>
      <c r="G23" s="231">
        <v>50</v>
      </c>
      <c r="H23" s="240"/>
      <c r="I23" s="230"/>
      <c r="J23" s="236">
        <v>0.1673</v>
      </c>
      <c r="K23" s="231"/>
      <c r="L23" s="240">
        <v>4.25</v>
      </c>
      <c r="M23" s="230"/>
      <c r="N23" s="236">
        <v>0.2913</v>
      </c>
      <c r="O23" s="231"/>
      <c r="P23" s="240">
        <v>7.4</v>
      </c>
      <c r="Q23" s="230" t="s">
        <v>200</v>
      </c>
      <c r="R23" s="236">
        <v>0.5781</v>
      </c>
      <c r="S23" s="243"/>
      <c r="T23" s="242"/>
    </row>
    <row r="24" spans="1:20" ht="9" customHeight="1">
      <c r="A24" s="230"/>
      <c r="B24" s="236">
        <v>0.0126</v>
      </c>
      <c r="C24" s="231"/>
      <c r="D24" s="240">
        <v>0.32</v>
      </c>
      <c r="E24" s="230"/>
      <c r="F24" s="236">
        <v>0.0709</v>
      </c>
      <c r="G24" s="231"/>
      <c r="H24" s="240">
        <v>1.8</v>
      </c>
      <c r="I24" s="230"/>
      <c r="J24" s="236">
        <v>0.1693</v>
      </c>
      <c r="K24" s="231"/>
      <c r="L24" s="240">
        <v>4.3</v>
      </c>
      <c r="M24" s="230"/>
      <c r="N24" s="236">
        <v>0.295</v>
      </c>
      <c r="O24" s="231" t="s">
        <v>198</v>
      </c>
      <c r="P24" s="240"/>
      <c r="Q24" s="230"/>
      <c r="R24" s="236">
        <v>0.5906</v>
      </c>
      <c r="S24" s="243"/>
      <c r="T24" s="242">
        <v>15</v>
      </c>
    </row>
    <row r="25" spans="1:20" ht="9" customHeight="1">
      <c r="A25" s="230"/>
      <c r="B25" s="236">
        <v>0.013</v>
      </c>
      <c r="C25" s="231">
        <v>81</v>
      </c>
      <c r="D25" s="240"/>
      <c r="E25" s="230"/>
      <c r="F25" s="236">
        <v>0.0728</v>
      </c>
      <c r="G25" s="231"/>
      <c r="H25" s="240">
        <v>1.85</v>
      </c>
      <c r="I25" s="230"/>
      <c r="J25" s="236">
        <v>0.1695</v>
      </c>
      <c r="K25" s="231">
        <v>18</v>
      </c>
      <c r="L25" s="240"/>
      <c r="M25" s="230"/>
      <c r="N25" s="236">
        <v>0.2953</v>
      </c>
      <c r="O25" s="231"/>
      <c r="P25" s="240">
        <v>7.5</v>
      </c>
      <c r="Q25" s="230" t="s">
        <v>204</v>
      </c>
      <c r="R25" s="236">
        <v>0.5938</v>
      </c>
      <c r="S25" s="243"/>
      <c r="T25" s="242"/>
    </row>
    <row r="26" spans="1:20" ht="9" customHeight="1">
      <c r="A26" s="230"/>
      <c r="B26" s="236">
        <v>0.0134</v>
      </c>
      <c r="C26" s="231"/>
      <c r="D26" s="240">
        <v>0.34</v>
      </c>
      <c r="E26" s="230"/>
      <c r="F26" s="236">
        <v>0.073</v>
      </c>
      <c r="G26" s="231">
        <v>49</v>
      </c>
      <c r="H26" s="240"/>
      <c r="I26" s="230" t="s">
        <v>197</v>
      </c>
      <c r="J26" s="236">
        <v>0.1719</v>
      </c>
      <c r="K26" s="231"/>
      <c r="L26" s="240"/>
      <c r="M26" s="230" t="s">
        <v>202</v>
      </c>
      <c r="N26" s="236">
        <v>0.2969</v>
      </c>
      <c r="O26" s="231"/>
      <c r="P26" s="240"/>
      <c r="Q26" s="230" t="s">
        <v>207</v>
      </c>
      <c r="R26" s="236">
        <v>0.6094</v>
      </c>
      <c r="S26" s="243"/>
      <c r="T26" s="242"/>
    </row>
    <row r="27" spans="1:20" ht="9" customHeight="1">
      <c r="A27" s="230"/>
      <c r="B27" s="236">
        <v>0.0135</v>
      </c>
      <c r="C27" s="231">
        <v>80</v>
      </c>
      <c r="D27" s="240"/>
      <c r="E27" s="230"/>
      <c r="F27" s="236">
        <v>0.0748</v>
      </c>
      <c r="G27" s="231"/>
      <c r="H27" s="240">
        <v>1.9</v>
      </c>
      <c r="I27" s="230"/>
      <c r="J27" s="236">
        <v>0.17300000000000001</v>
      </c>
      <c r="K27" s="231">
        <v>17</v>
      </c>
      <c r="L27" s="240"/>
      <c r="M27" s="230"/>
      <c r="N27" s="236">
        <v>0.2992</v>
      </c>
      <c r="O27" s="231"/>
      <c r="P27" s="240">
        <v>7.6</v>
      </c>
      <c r="Q27" s="230"/>
      <c r="R27" s="236">
        <v>0.6102</v>
      </c>
      <c r="S27" s="243"/>
      <c r="T27" s="242">
        <v>15.5</v>
      </c>
    </row>
    <row r="28" spans="1:20" ht="9" customHeight="1">
      <c r="A28" s="230"/>
      <c r="B28" s="236">
        <v>0.0138</v>
      </c>
      <c r="C28" s="231"/>
      <c r="D28" s="240">
        <v>0.35</v>
      </c>
      <c r="E28" s="230"/>
      <c r="F28" s="236">
        <v>0.076</v>
      </c>
      <c r="G28" s="231">
        <v>48</v>
      </c>
      <c r="H28" s="240"/>
      <c r="I28" s="230"/>
      <c r="J28" s="236">
        <v>0.1732</v>
      </c>
      <c r="K28" s="231"/>
      <c r="L28" s="240">
        <v>4.4</v>
      </c>
      <c r="M28" s="230"/>
      <c r="N28" s="236">
        <v>0.302</v>
      </c>
      <c r="O28" s="231" t="s">
        <v>206</v>
      </c>
      <c r="P28" s="240"/>
      <c r="Q28" s="230" t="s">
        <v>209</v>
      </c>
      <c r="R28" s="236">
        <v>0.625</v>
      </c>
      <c r="S28" s="243"/>
      <c r="T28" s="242"/>
    </row>
    <row r="29" spans="1:20" ht="9" customHeight="1">
      <c r="A29" s="230"/>
      <c r="B29" s="236">
        <v>0.0142</v>
      </c>
      <c r="C29" s="231"/>
      <c r="D29" s="240">
        <v>0.36</v>
      </c>
      <c r="E29" s="230"/>
      <c r="F29" s="236">
        <v>0.07680000000000001</v>
      </c>
      <c r="G29" s="231"/>
      <c r="H29" s="240">
        <v>1.95</v>
      </c>
      <c r="I29" s="230"/>
      <c r="J29" s="236">
        <v>0.177</v>
      </c>
      <c r="K29" s="231">
        <v>16</v>
      </c>
      <c r="L29" s="240"/>
      <c r="M29" s="230"/>
      <c r="N29" s="236">
        <v>0.3031</v>
      </c>
      <c r="O29" s="231"/>
      <c r="P29" s="240">
        <v>7.7</v>
      </c>
      <c r="Q29" s="230"/>
      <c r="R29" s="236">
        <v>0.6299</v>
      </c>
      <c r="S29" s="243"/>
      <c r="T29" s="242">
        <v>16</v>
      </c>
    </row>
    <row r="30" spans="1:20" ht="9" customHeight="1">
      <c r="A30" s="230"/>
      <c r="B30" s="236">
        <v>0.0145</v>
      </c>
      <c r="C30" s="231">
        <v>79</v>
      </c>
      <c r="D30" s="240"/>
      <c r="E30" s="230" t="s">
        <v>201</v>
      </c>
      <c r="F30" s="236">
        <v>0.0781</v>
      </c>
      <c r="G30" s="231"/>
      <c r="H30" s="240"/>
      <c r="I30" s="230"/>
      <c r="J30" s="236">
        <v>0.1772</v>
      </c>
      <c r="K30" s="231"/>
      <c r="L30" s="240">
        <v>4.5</v>
      </c>
      <c r="M30" s="230"/>
      <c r="N30" s="236">
        <v>0.3051</v>
      </c>
      <c r="O30" s="231"/>
      <c r="P30" s="240">
        <v>7.75</v>
      </c>
      <c r="Q30" s="230" t="s">
        <v>211</v>
      </c>
      <c r="R30" s="236">
        <v>0.6406</v>
      </c>
      <c r="S30" s="243"/>
      <c r="T30" s="242"/>
    </row>
    <row r="31" spans="1:20" ht="9" customHeight="1">
      <c r="A31" s="230"/>
      <c r="B31" s="236">
        <v>0.015</v>
      </c>
      <c r="C31" s="231"/>
      <c r="D31" s="240">
        <v>0.38</v>
      </c>
      <c r="E31" s="230"/>
      <c r="F31" s="236">
        <v>0.0785</v>
      </c>
      <c r="G31" s="231">
        <v>47</v>
      </c>
      <c r="H31" s="240"/>
      <c r="I31" s="230"/>
      <c r="J31" s="236">
        <v>0.18</v>
      </c>
      <c r="K31" s="231">
        <v>15</v>
      </c>
      <c r="L31" s="240"/>
      <c r="M31" s="230"/>
      <c r="N31" s="236">
        <v>0.3071</v>
      </c>
      <c r="O31" s="231"/>
      <c r="P31" s="240">
        <v>7.8</v>
      </c>
      <c r="Q31" s="230"/>
      <c r="R31" s="236">
        <v>0.6496</v>
      </c>
      <c r="S31" s="243"/>
      <c r="T31" s="242">
        <v>16.5</v>
      </c>
    </row>
    <row r="32" spans="1:20" ht="9" customHeight="1">
      <c r="A32" s="230" t="s">
        <v>262</v>
      </c>
      <c r="B32" s="236">
        <v>0.0156</v>
      </c>
      <c r="C32" s="231"/>
      <c r="D32" s="240"/>
      <c r="E32" s="230"/>
      <c r="F32" s="236">
        <v>0.0787</v>
      </c>
      <c r="G32" s="231"/>
      <c r="H32" s="240">
        <v>2</v>
      </c>
      <c r="I32" s="230"/>
      <c r="J32" s="236">
        <v>0.1811</v>
      </c>
      <c r="K32" s="231"/>
      <c r="L32" s="240">
        <v>4.6</v>
      </c>
      <c r="M32" s="230"/>
      <c r="N32" s="236">
        <v>0.311</v>
      </c>
      <c r="O32" s="231"/>
      <c r="P32" s="240">
        <v>7.9</v>
      </c>
      <c r="Q32" s="230" t="s">
        <v>215</v>
      </c>
      <c r="R32" s="236">
        <v>0.6562</v>
      </c>
      <c r="S32" s="243"/>
      <c r="T32" s="242"/>
    </row>
    <row r="33" spans="1:20" ht="9" customHeight="1">
      <c r="A33" s="230"/>
      <c r="B33" s="236">
        <v>0.0157</v>
      </c>
      <c r="C33" s="231"/>
      <c r="D33" s="240">
        <v>0.4</v>
      </c>
      <c r="E33" s="230"/>
      <c r="F33" s="236">
        <v>0.08070000000000001</v>
      </c>
      <c r="G33" s="231"/>
      <c r="H33" s="240">
        <v>2.05</v>
      </c>
      <c r="I33" s="230"/>
      <c r="J33" s="236">
        <v>0.182</v>
      </c>
      <c r="K33" s="231">
        <v>14</v>
      </c>
      <c r="L33" s="240"/>
      <c r="M33" s="230" t="s">
        <v>212</v>
      </c>
      <c r="N33" s="236">
        <v>0.3125</v>
      </c>
      <c r="O33" s="231"/>
      <c r="P33" s="240"/>
      <c r="Q33" s="230"/>
      <c r="R33" s="236">
        <v>0.6693</v>
      </c>
      <c r="S33" s="243"/>
      <c r="T33" s="242">
        <v>17</v>
      </c>
    </row>
    <row r="34" spans="1:20" ht="9" customHeight="1">
      <c r="A34" s="230"/>
      <c r="B34" s="236">
        <v>0.016</v>
      </c>
      <c r="C34" s="231">
        <v>78</v>
      </c>
      <c r="D34" s="240"/>
      <c r="E34" s="230"/>
      <c r="F34" s="236">
        <v>0.081</v>
      </c>
      <c r="G34" s="231">
        <v>46</v>
      </c>
      <c r="H34" s="240"/>
      <c r="I34" s="230"/>
      <c r="J34" s="236">
        <v>0.185</v>
      </c>
      <c r="K34" s="231">
        <v>13</v>
      </c>
      <c r="L34" s="240">
        <v>4.7</v>
      </c>
      <c r="M34" s="230"/>
      <c r="N34" s="236">
        <v>0.315</v>
      </c>
      <c r="O34" s="231"/>
      <c r="P34" s="240">
        <v>8</v>
      </c>
      <c r="Q34" s="230" t="s">
        <v>218</v>
      </c>
      <c r="R34" s="236">
        <v>0.6719</v>
      </c>
      <c r="S34" s="243"/>
      <c r="T34" s="242"/>
    </row>
    <row r="35" spans="1:20" ht="9" customHeight="1">
      <c r="A35" s="230"/>
      <c r="B35" s="236">
        <v>0.0165</v>
      </c>
      <c r="C35" s="231"/>
      <c r="D35" s="240">
        <v>0.42</v>
      </c>
      <c r="E35" s="230"/>
      <c r="F35" s="236">
        <v>0.082</v>
      </c>
      <c r="G35" s="231">
        <v>45</v>
      </c>
      <c r="H35" s="240"/>
      <c r="I35" s="230"/>
      <c r="J35" s="236">
        <v>0.187</v>
      </c>
      <c r="K35" s="231"/>
      <c r="L35" s="240">
        <v>4.75</v>
      </c>
      <c r="M35" s="230"/>
      <c r="N35" s="236">
        <v>0.316</v>
      </c>
      <c r="O35" s="231" t="s">
        <v>216</v>
      </c>
      <c r="P35" s="240"/>
      <c r="Q35" s="230" t="s">
        <v>220</v>
      </c>
      <c r="R35" s="236">
        <v>0.6875</v>
      </c>
      <c r="S35" s="243"/>
      <c r="T35" s="242"/>
    </row>
    <row r="36" spans="1:20" ht="9" customHeight="1">
      <c r="A36" s="230"/>
      <c r="B36" s="236">
        <v>0.0173</v>
      </c>
      <c r="C36" s="231"/>
      <c r="D36" s="240">
        <v>0.44</v>
      </c>
      <c r="E36" s="230"/>
      <c r="F36" s="236">
        <v>0.08270000000000001</v>
      </c>
      <c r="G36" s="231"/>
      <c r="H36" s="240">
        <v>2.1</v>
      </c>
      <c r="I36" s="230" t="s">
        <v>214</v>
      </c>
      <c r="J36" s="236">
        <v>0.1875</v>
      </c>
      <c r="K36" s="231"/>
      <c r="L36" s="240"/>
      <c r="M36" s="230"/>
      <c r="N36" s="236">
        <v>0.3189</v>
      </c>
      <c r="O36" s="231"/>
      <c r="P36" s="240">
        <v>8.1</v>
      </c>
      <c r="Q36" s="230"/>
      <c r="R36" s="236">
        <v>0.6890000000000001</v>
      </c>
      <c r="S36" s="243"/>
      <c r="T36" s="242">
        <v>17.5</v>
      </c>
    </row>
    <row r="37" spans="1:20" ht="9" customHeight="1">
      <c r="A37" s="230"/>
      <c r="B37" s="236">
        <v>0.0177</v>
      </c>
      <c r="C37" s="231"/>
      <c r="D37" s="240">
        <v>0.45</v>
      </c>
      <c r="E37" s="230"/>
      <c r="F37" s="236">
        <v>0.08460000000000001</v>
      </c>
      <c r="G37" s="231"/>
      <c r="H37" s="240">
        <v>2.15</v>
      </c>
      <c r="I37" s="230"/>
      <c r="J37" s="236">
        <v>0.189</v>
      </c>
      <c r="K37" s="231">
        <v>12</v>
      </c>
      <c r="L37" s="240">
        <v>4.8</v>
      </c>
      <c r="M37" s="230"/>
      <c r="N37" s="236">
        <v>0.3228</v>
      </c>
      <c r="O37" s="231"/>
      <c r="P37" s="240">
        <v>8.2</v>
      </c>
      <c r="Q37" s="230" t="s">
        <v>223</v>
      </c>
      <c r="R37" s="236">
        <v>0.7031</v>
      </c>
      <c r="S37" s="243"/>
      <c r="T37" s="242"/>
    </row>
    <row r="38" spans="1:20" ht="9" customHeight="1">
      <c r="A38" s="230"/>
      <c r="B38" s="236">
        <v>0.018</v>
      </c>
      <c r="C38" s="231">
        <v>77</v>
      </c>
      <c r="D38" s="240"/>
      <c r="E38" s="230"/>
      <c r="F38" s="236">
        <v>0.08600000000000001</v>
      </c>
      <c r="G38" s="231">
        <v>44</v>
      </c>
      <c r="H38" s="240"/>
      <c r="I38" s="230"/>
      <c r="J38" s="236">
        <v>0.191</v>
      </c>
      <c r="K38" s="231">
        <v>11</v>
      </c>
      <c r="L38" s="240"/>
      <c r="M38" s="230"/>
      <c r="N38" s="236">
        <v>0.323</v>
      </c>
      <c r="O38" s="231" t="s">
        <v>221</v>
      </c>
      <c r="P38" s="240"/>
      <c r="Q38" s="230"/>
      <c r="R38" s="236">
        <v>0.7087</v>
      </c>
      <c r="S38" s="243"/>
      <c r="T38" s="242">
        <v>18</v>
      </c>
    </row>
    <row r="39" spans="1:20" ht="9" customHeight="1">
      <c r="A39" s="230"/>
      <c r="B39" s="236">
        <v>0.0181</v>
      </c>
      <c r="C39" s="231"/>
      <c r="D39" s="240">
        <v>0.46</v>
      </c>
      <c r="E39" s="230"/>
      <c r="F39" s="236">
        <v>0.08660000000000001</v>
      </c>
      <c r="G39" s="231"/>
      <c r="H39" s="240">
        <v>2.2</v>
      </c>
      <c r="I39" s="230"/>
      <c r="J39" s="236">
        <v>0.1929</v>
      </c>
      <c r="K39" s="231"/>
      <c r="L39" s="240">
        <v>4.9</v>
      </c>
      <c r="M39" s="230"/>
      <c r="N39" s="236">
        <v>0.3248</v>
      </c>
      <c r="O39" s="231"/>
      <c r="P39" s="240">
        <v>8.25</v>
      </c>
      <c r="Q39" s="230" t="s">
        <v>227</v>
      </c>
      <c r="R39" s="236">
        <v>0.7188</v>
      </c>
      <c r="S39" s="243"/>
      <c r="T39" s="242"/>
    </row>
    <row r="40" spans="1:20" ht="9" customHeight="1">
      <c r="A40" s="230"/>
      <c r="B40" s="236">
        <v>0.0189</v>
      </c>
      <c r="C40" s="231"/>
      <c r="D40" s="240">
        <v>0.48</v>
      </c>
      <c r="E40" s="230"/>
      <c r="F40" s="236">
        <v>0.0886</v>
      </c>
      <c r="G40" s="231"/>
      <c r="H40" s="240">
        <v>2.25</v>
      </c>
      <c r="I40" s="230"/>
      <c r="J40" s="236">
        <v>0.1935</v>
      </c>
      <c r="K40" s="231">
        <v>10</v>
      </c>
      <c r="L40" s="240"/>
      <c r="M40" s="230"/>
      <c r="N40" s="236">
        <v>0.3268</v>
      </c>
      <c r="O40" s="231"/>
      <c r="P40" s="240">
        <v>8.3</v>
      </c>
      <c r="Q40" s="230"/>
      <c r="R40" s="236">
        <v>0.7283</v>
      </c>
      <c r="S40" s="243"/>
      <c r="T40" s="242">
        <v>18.5</v>
      </c>
    </row>
    <row r="41" spans="1:20" ht="9" customHeight="1">
      <c r="A41" s="230"/>
      <c r="B41" s="236">
        <v>0.0197</v>
      </c>
      <c r="C41" s="231"/>
      <c r="D41" s="240">
        <v>0.5</v>
      </c>
      <c r="E41" s="230"/>
      <c r="F41" s="236">
        <v>0.089</v>
      </c>
      <c r="G41" s="231">
        <v>43</v>
      </c>
      <c r="H41" s="240"/>
      <c r="I41" s="230"/>
      <c r="J41" s="236">
        <v>0.196</v>
      </c>
      <c r="K41" s="231">
        <v>9</v>
      </c>
      <c r="L41" s="240"/>
      <c r="M41" s="230" t="s">
        <v>226</v>
      </c>
      <c r="N41" s="236">
        <v>0.3281</v>
      </c>
      <c r="O41" s="231"/>
      <c r="P41" s="240"/>
      <c r="Q41" s="230" t="s">
        <v>230</v>
      </c>
      <c r="R41" s="236">
        <v>0.7344</v>
      </c>
      <c r="S41" s="243"/>
      <c r="T41" s="242"/>
    </row>
    <row r="42" spans="1:20" ht="9" customHeight="1">
      <c r="A42" s="230"/>
      <c r="B42" s="236">
        <v>0.02</v>
      </c>
      <c r="C42" s="231">
        <v>76</v>
      </c>
      <c r="D42" s="240"/>
      <c r="E42" s="230"/>
      <c r="F42" s="236">
        <v>0.0906</v>
      </c>
      <c r="G42" s="231"/>
      <c r="H42" s="240">
        <v>2.3</v>
      </c>
      <c r="I42" s="230"/>
      <c r="J42" s="236">
        <v>0.1969</v>
      </c>
      <c r="K42" s="231"/>
      <c r="L42" s="240">
        <v>5</v>
      </c>
      <c r="M42" s="230"/>
      <c r="N42" s="236">
        <v>0.3307</v>
      </c>
      <c r="O42" s="231"/>
      <c r="P42" s="240">
        <v>8.4</v>
      </c>
      <c r="Q42" s="230"/>
      <c r="R42" s="236">
        <v>0.748</v>
      </c>
      <c r="S42" s="243"/>
      <c r="T42" s="242">
        <v>19</v>
      </c>
    </row>
    <row r="43" spans="1:20" ht="9" customHeight="1">
      <c r="A43" s="230"/>
      <c r="B43" s="236">
        <v>0.021</v>
      </c>
      <c r="C43" s="231">
        <v>75</v>
      </c>
      <c r="D43" s="240"/>
      <c r="E43" s="230"/>
      <c r="F43" s="236">
        <v>0.0925</v>
      </c>
      <c r="G43" s="231"/>
      <c r="H43" s="240">
        <v>2.35</v>
      </c>
      <c r="I43" s="230"/>
      <c r="J43" s="236">
        <v>0.199</v>
      </c>
      <c r="K43" s="231">
        <v>8</v>
      </c>
      <c r="L43" s="240"/>
      <c r="M43" s="230"/>
      <c r="N43" s="236">
        <v>0.332</v>
      </c>
      <c r="O43" s="231" t="s">
        <v>229</v>
      </c>
      <c r="P43" s="240"/>
      <c r="Q43" s="230" t="s">
        <v>233</v>
      </c>
      <c r="R43" s="236">
        <v>0.75</v>
      </c>
      <c r="S43" s="243"/>
      <c r="T43" s="242"/>
    </row>
    <row r="44" spans="1:20" ht="9" customHeight="1">
      <c r="A44" s="230"/>
      <c r="B44" s="236">
        <v>0.0217</v>
      </c>
      <c r="C44" s="231"/>
      <c r="D44" s="240">
        <v>0.55</v>
      </c>
      <c r="E44" s="230"/>
      <c r="F44" s="236">
        <v>0.0935</v>
      </c>
      <c r="G44" s="231">
        <v>42</v>
      </c>
      <c r="H44" s="240"/>
      <c r="I44" s="230"/>
      <c r="J44" s="236">
        <v>0.2008</v>
      </c>
      <c r="K44" s="231"/>
      <c r="L44" s="240">
        <v>5.1</v>
      </c>
      <c r="M44" s="230"/>
      <c r="N44" s="236">
        <v>0.3346</v>
      </c>
      <c r="O44" s="231"/>
      <c r="P44" s="240">
        <v>8.5</v>
      </c>
      <c r="Q44" s="230" t="s">
        <v>236</v>
      </c>
      <c r="R44" s="236">
        <v>0.7656</v>
      </c>
      <c r="S44" s="243"/>
      <c r="T44" s="242"/>
    </row>
    <row r="45" spans="1:20" ht="9" customHeight="1">
      <c r="A45" s="230"/>
      <c r="B45" s="236">
        <v>0.0225</v>
      </c>
      <c r="C45" s="231">
        <v>74</v>
      </c>
      <c r="D45" s="240"/>
      <c r="E45" s="230" t="s">
        <v>225</v>
      </c>
      <c r="F45" s="236">
        <v>0.09380000000000001</v>
      </c>
      <c r="G45" s="231"/>
      <c r="H45" s="240"/>
      <c r="I45" s="230"/>
      <c r="J45" s="236">
        <v>0.201</v>
      </c>
      <c r="K45" s="231">
        <v>7</v>
      </c>
      <c r="L45" s="240"/>
      <c r="M45" s="230"/>
      <c r="N45" s="236">
        <v>0.3386</v>
      </c>
      <c r="O45" s="231"/>
      <c r="P45" s="240">
        <v>8.6</v>
      </c>
      <c r="Q45" s="230"/>
      <c r="R45" s="236">
        <v>0.7677</v>
      </c>
      <c r="S45" s="243"/>
      <c r="T45" s="242">
        <v>19.5</v>
      </c>
    </row>
    <row r="46" spans="1:20" ht="9" customHeight="1">
      <c r="A46" s="230"/>
      <c r="B46" s="236">
        <v>0.0236</v>
      </c>
      <c r="C46" s="231"/>
      <c r="D46" s="240">
        <v>0.6</v>
      </c>
      <c r="E46" s="230"/>
      <c r="F46" s="236">
        <v>0.0945</v>
      </c>
      <c r="G46" s="231"/>
      <c r="H46" s="240">
        <v>2.4</v>
      </c>
      <c r="I46" s="230" t="s">
        <v>231</v>
      </c>
      <c r="J46" s="236">
        <v>0.2031</v>
      </c>
      <c r="K46" s="231"/>
      <c r="L46" s="240"/>
      <c r="M46" s="230"/>
      <c r="N46" s="236">
        <v>0.339</v>
      </c>
      <c r="O46" s="231" t="s">
        <v>235</v>
      </c>
      <c r="P46" s="240"/>
      <c r="Q46" s="230" t="s">
        <v>239</v>
      </c>
      <c r="R46" s="236">
        <v>0.7812</v>
      </c>
      <c r="S46" s="243"/>
      <c r="T46" s="242"/>
    </row>
    <row r="47" spans="1:20" ht="9" customHeight="1">
      <c r="A47" s="230"/>
      <c r="B47" s="236">
        <v>0.024</v>
      </c>
      <c r="C47" s="231">
        <v>73</v>
      </c>
      <c r="D47" s="240"/>
      <c r="E47" s="230"/>
      <c r="F47" s="236">
        <v>0.096</v>
      </c>
      <c r="G47" s="231">
        <v>41</v>
      </c>
      <c r="H47" s="240"/>
      <c r="I47" s="230"/>
      <c r="J47" s="236">
        <v>0.20400000000000001</v>
      </c>
      <c r="K47" s="231">
        <v>6</v>
      </c>
      <c r="L47" s="240"/>
      <c r="M47" s="230"/>
      <c r="N47" s="236">
        <v>0.3425</v>
      </c>
      <c r="O47" s="231"/>
      <c r="P47" s="240">
        <v>8.7</v>
      </c>
      <c r="Q47" s="230"/>
      <c r="R47" s="236">
        <v>0.7874</v>
      </c>
      <c r="S47" s="243"/>
      <c r="T47" s="242">
        <v>20</v>
      </c>
    </row>
    <row r="48" spans="1:20" ht="9" customHeight="1">
      <c r="A48" s="230"/>
      <c r="B48" s="236">
        <v>0.025</v>
      </c>
      <c r="C48" s="231">
        <v>72</v>
      </c>
      <c r="D48" s="240"/>
      <c r="E48" s="230"/>
      <c r="F48" s="236">
        <v>0.0965</v>
      </c>
      <c r="G48" s="231"/>
      <c r="H48" s="240">
        <v>2.45</v>
      </c>
      <c r="I48" s="230"/>
      <c r="J48" s="236">
        <v>0.2047</v>
      </c>
      <c r="K48" s="231"/>
      <c r="L48" s="240">
        <v>5.2</v>
      </c>
      <c r="M48" s="230" t="s">
        <v>238</v>
      </c>
      <c r="N48" s="236">
        <v>0.3438</v>
      </c>
      <c r="O48" s="231"/>
      <c r="P48" s="240"/>
      <c r="Q48" s="230" t="s">
        <v>241</v>
      </c>
      <c r="R48" s="236">
        <v>0.7969</v>
      </c>
      <c r="S48" s="243"/>
      <c r="T48" s="242"/>
    </row>
    <row r="49" spans="1:20" ht="9" customHeight="1">
      <c r="A49" s="230"/>
      <c r="B49" s="236">
        <v>0.0256</v>
      </c>
      <c r="C49" s="231"/>
      <c r="D49" s="240">
        <v>0.65</v>
      </c>
      <c r="E49" s="230"/>
      <c r="F49" s="236">
        <v>0.098</v>
      </c>
      <c r="G49" s="231">
        <v>40</v>
      </c>
      <c r="H49" s="240"/>
      <c r="I49" s="230"/>
      <c r="J49" s="236">
        <v>0.20550000000000002</v>
      </c>
      <c r="K49" s="231">
        <v>5</v>
      </c>
      <c r="L49" s="240"/>
      <c r="M49" s="230"/>
      <c r="N49" s="236">
        <v>0.34450000000000003</v>
      </c>
      <c r="O49" s="231"/>
      <c r="P49" s="240">
        <v>8.75</v>
      </c>
      <c r="Q49" s="230"/>
      <c r="R49" s="236">
        <v>0.8071</v>
      </c>
      <c r="S49" s="243"/>
      <c r="T49" s="242">
        <v>20.5</v>
      </c>
    </row>
    <row r="50" spans="1:20" ht="9" customHeight="1">
      <c r="A50" s="230"/>
      <c r="B50" s="236">
        <v>0.026</v>
      </c>
      <c r="C50" s="231">
        <v>71</v>
      </c>
      <c r="D50" s="240"/>
      <c r="E50" s="230"/>
      <c r="F50" s="236">
        <v>0.0984</v>
      </c>
      <c r="G50" s="231"/>
      <c r="H50" s="240">
        <v>2.5</v>
      </c>
      <c r="I50" s="230"/>
      <c r="J50" s="236">
        <v>0.2067</v>
      </c>
      <c r="K50" s="231"/>
      <c r="L50" s="240">
        <v>5.25</v>
      </c>
      <c r="M50" s="230"/>
      <c r="N50" s="236">
        <v>0.34650000000000003</v>
      </c>
      <c r="O50" s="231"/>
      <c r="P50" s="240">
        <v>8.8</v>
      </c>
      <c r="Q50" s="230" t="s">
        <v>244</v>
      </c>
      <c r="R50" s="236">
        <v>0.8125</v>
      </c>
      <c r="S50" s="243"/>
      <c r="T50" s="242"/>
    </row>
    <row r="51" spans="1:20" ht="9" customHeight="1">
      <c r="A51" s="230"/>
      <c r="B51" s="236">
        <v>0.0276</v>
      </c>
      <c r="C51" s="231"/>
      <c r="D51" s="240">
        <v>0.7</v>
      </c>
      <c r="E51" s="230"/>
      <c r="F51" s="236">
        <v>0.0995</v>
      </c>
      <c r="G51" s="231">
        <v>39</v>
      </c>
      <c r="H51" s="240"/>
      <c r="I51" s="230"/>
      <c r="J51" s="236">
        <v>0.2087</v>
      </c>
      <c r="K51" s="231"/>
      <c r="L51" s="240">
        <v>5.3</v>
      </c>
      <c r="M51" s="230"/>
      <c r="N51" s="236">
        <v>0.34800000000000003</v>
      </c>
      <c r="O51" s="231" t="s">
        <v>242</v>
      </c>
      <c r="P51" s="240"/>
      <c r="Q51" s="230"/>
      <c r="R51" s="236">
        <v>0.8268</v>
      </c>
      <c r="S51" s="243"/>
      <c r="T51" s="242">
        <v>21</v>
      </c>
    </row>
    <row r="52" spans="1:20" ht="9" customHeight="1">
      <c r="A52" s="230"/>
      <c r="B52" s="236">
        <v>0.028</v>
      </c>
      <c r="C52" s="231">
        <v>70</v>
      </c>
      <c r="D52" s="240"/>
      <c r="E52" s="230"/>
      <c r="F52" s="236">
        <v>0.1015</v>
      </c>
      <c r="G52" s="231">
        <v>38</v>
      </c>
      <c r="H52" s="240"/>
      <c r="I52" s="230"/>
      <c r="J52" s="236">
        <v>0.209</v>
      </c>
      <c r="K52" s="231">
        <v>4</v>
      </c>
      <c r="L52" s="240"/>
      <c r="M52" s="230"/>
      <c r="N52" s="236">
        <v>0.3504</v>
      </c>
      <c r="O52" s="231"/>
      <c r="P52" s="240">
        <v>8.9</v>
      </c>
      <c r="Q52" s="230" t="s">
        <v>249</v>
      </c>
      <c r="R52" s="236">
        <v>0.8281</v>
      </c>
      <c r="S52" s="243"/>
      <c r="T52" s="242"/>
    </row>
    <row r="53" spans="1:20" ht="9" customHeight="1">
      <c r="A53" s="230"/>
      <c r="B53" s="236">
        <v>0.0292</v>
      </c>
      <c r="C53" s="231">
        <v>69</v>
      </c>
      <c r="D53" s="240"/>
      <c r="E53" s="230"/>
      <c r="F53" s="236">
        <v>0.1024</v>
      </c>
      <c r="G53" s="231"/>
      <c r="H53" s="240">
        <v>2.6</v>
      </c>
      <c r="I53" s="230"/>
      <c r="J53" s="236">
        <v>0.2126</v>
      </c>
      <c r="K53" s="231"/>
      <c r="L53" s="240">
        <v>5.4</v>
      </c>
      <c r="M53" s="230"/>
      <c r="N53" s="236">
        <v>0.3543</v>
      </c>
      <c r="O53" s="231"/>
      <c r="P53" s="240">
        <v>9</v>
      </c>
      <c r="Q53" s="230" t="s">
        <v>251</v>
      </c>
      <c r="R53" s="236">
        <v>0.8438</v>
      </c>
      <c r="S53" s="243"/>
      <c r="T53" s="242"/>
    </row>
    <row r="54" spans="1:20" ht="9" customHeight="1">
      <c r="A54" s="230"/>
      <c r="B54" s="236">
        <v>0.0295</v>
      </c>
      <c r="C54" s="231"/>
      <c r="D54" s="240">
        <v>0.75</v>
      </c>
      <c r="E54" s="230"/>
      <c r="F54" s="236">
        <v>0.10400000000000001</v>
      </c>
      <c r="G54" s="231">
        <v>37</v>
      </c>
      <c r="H54" s="240"/>
      <c r="I54" s="230"/>
      <c r="J54" s="236">
        <v>0.213</v>
      </c>
      <c r="K54" s="231">
        <v>3</v>
      </c>
      <c r="L54" s="240"/>
      <c r="M54" s="230"/>
      <c r="N54" s="236">
        <v>0.358</v>
      </c>
      <c r="O54" s="231" t="s">
        <v>248</v>
      </c>
      <c r="P54" s="240"/>
      <c r="Q54" s="230"/>
      <c r="R54" s="236">
        <v>0.8465</v>
      </c>
      <c r="S54" s="243"/>
      <c r="T54" s="242">
        <v>21.5</v>
      </c>
    </row>
    <row r="55" spans="1:20" ht="9" customHeight="1">
      <c r="A55" s="230"/>
      <c r="B55" s="236">
        <v>0.031</v>
      </c>
      <c r="C55" s="231">
        <v>68</v>
      </c>
      <c r="D55" s="240"/>
      <c r="E55" s="230"/>
      <c r="F55" s="236">
        <v>0.1063</v>
      </c>
      <c r="G55" s="231"/>
      <c r="H55" s="240">
        <v>2.7</v>
      </c>
      <c r="I55" s="230"/>
      <c r="J55" s="236">
        <v>0.2165</v>
      </c>
      <c r="K55" s="231"/>
      <c r="L55" s="240">
        <v>5.5</v>
      </c>
      <c r="M55" s="230"/>
      <c r="N55" s="236">
        <v>0.3583</v>
      </c>
      <c r="O55" s="231"/>
      <c r="P55" s="240">
        <v>9.1</v>
      </c>
      <c r="Q55" s="230" t="s">
        <v>254</v>
      </c>
      <c r="R55" s="236">
        <v>0.8594</v>
      </c>
      <c r="S55" s="243"/>
      <c r="T55" s="242"/>
    </row>
    <row r="56" spans="1:20" ht="9" customHeight="1">
      <c r="A56" s="230" t="s">
        <v>263</v>
      </c>
      <c r="B56" s="236">
        <v>0.0312</v>
      </c>
      <c r="C56" s="231"/>
      <c r="D56" s="240"/>
      <c r="E56" s="230"/>
      <c r="F56" s="236">
        <v>0.1065</v>
      </c>
      <c r="G56" s="231">
        <v>36</v>
      </c>
      <c r="H56" s="240"/>
      <c r="I56" s="230" t="s">
        <v>247</v>
      </c>
      <c r="J56" s="236">
        <v>0.2188</v>
      </c>
      <c r="K56" s="231"/>
      <c r="L56" s="240"/>
      <c r="M56" s="230" t="s">
        <v>252</v>
      </c>
      <c r="N56" s="236">
        <v>0.3594</v>
      </c>
      <c r="O56" s="231"/>
      <c r="P56" s="240"/>
      <c r="Q56" s="230"/>
      <c r="R56" s="236">
        <v>0.8661</v>
      </c>
      <c r="S56" s="243"/>
      <c r="T56" s="242">
        <v>22</v>
      </c>
    </row>
    <row r="57" spans="1:20" ht="9" customHeight="1">
      <c r="A57" s="230"/>
      <c r="B57" s="236">
        <v>0.0315</v>
      </c>
      <c r="C57" s="231"/>
      <c r="D57" s="240">
        <v>0.8</v>
      </c>
      <c r="E57" s="230"/>
      <c r="F57" s="236">
        <v>0.1083</v>
      </c>
      <c r="G57" s="231"/>
      <c r="H57" s="240">
        <v>2.75</v>
      </c>
      <c r="I57" s="230"/>
      <c r="J57" s="236">
        <v>0.2205</v>
      </c>
      <c r="K57" s="231"/>
      <c r="L57" s="240">
        <v>5.6</v>
      </c>
      <c r="M57" s="230"/>
      <c r="N57" s="236">
        <v>0.3622</v>
      </c>
      <c r="O57" s="231"/>
      <c r="P57" s="240">
        <v>9.2</v>
      </c>
      <c r="Q57" s="230" t="s">
        <v>256</v>
      </c>
      <c r="R57" s="236">
        <v>0.875</v>
      </c>
      <c r="S57" s="243"/>
      <c r="T57" s="242"/>
    </row>
    <row r="58" spans="1:20" ht="9" customHeight="1">
      <c r="A58" s="230"/>
      <c r="B58" s="236">
        <v>0.032</v>
      </c>
      <c r="C58" s="231">
        <v>67</v>
      </c>
      <c r="D58" s="240"/>
      <c r="E58" s="230" t="s">
        <v>246</v>
      </c>
      <c r="F58" s="236">
        <v>0.1094</v>
      </c>
      <c r="G58" s="231"/>
      <c r="H58" s="240"/>
      <c r="I58" s="230"/>
      <c r="J58" s="236">
        <v>0.221</v>
      </c>
      <c r="K58" s="231">
        <v>2</v>
      </c>
      <c r="L58" s="240"/>
      <c r="M58" s="230"/>
      <c r="N58" s="236">
        <v>0.3642</v>
      </c>
      <c r="O58" s="231"/>
      <c r="P58" s="240">
        <v>9.25</v>
      </c>
      <c r="Q58" s="230"/>
      <c r="R58" s="236">
        <v>0.8858</v>
      </c>
      <c r="S58" s="243"/>
      <c r="T58" s="242">
        <v>22.5</v>
      </c>
    </row>
    <row r="59" spans="1:20" ht="9" customHeight="1">
      <c r="A59" s="230"/>
      <c r="B59" s="236">
        <v>0.033</v>
      </c>
      <c r="C59" s="231">
        <v>66</v>
      </c>
      <c r="D59" s="240"/>
      <c r="E59" s="230"/>
      <c r="F59" s="236">
        <v>0.11</v>
      </c>
      <c r="G59" s="231">
        <v>35</v>
      </c>
      <c r="H59" s="240"/>
      <c r="I59" s="230"/>
      <c r="J59" s="236">
        <v>0.2244</v>
      </c>
      <c r="K59" s="231"/>
      <c r="L59" s="240">
        <v>5.7</v>
      </c>
      <c r="M59" s="230"/>
      <c r="N59" s="236">
        <v>0.3661</v>
      </c>
      <c r="O59" s="231"/>
      <c r="P59" s="240">
        <v>9.3</v>
      </c>
      <c r="Q59" s="230" t="s">
        <v>259</v>
      </c>
      <c r="R59" s="236">
        <v>0.8906</v>
      </c>
      <c r="S59" s="243"/>
      <c r="T59" s="242"/>
    </row>
    <row r="60" spans="1:20" ht="9" customHeight="1">
      <c r="A60" s="230"/>
      <c r="B60" s="236">
        <v>0.0335</v>
      </c>
      <c r="C60" s="231"/>
      <c r="D60" s="240">
        <v>0.85</v>
      </c>
      <c r="E60" s="230"/>
      <c r="F60" s="236">
        <v>0.1102</v>
      </c>
      <c r="G60" s="231"/>
      <c r="H60" s="240">
        <v>2.8</v>
      </c>
      <c r="I60" s="230"/>
      <c r="J60" s="236">
        <v>0.2264</v>
      </c>
      <c r="K60" s="231"/>
      <c r="L60" s="240">
        <v>5.75</v>
      </c>
      <c r="M60" s="230"/>
      <c r="N60" s="236">
        <v>0.368</v>
      </c>
      <c r="O60" s="231" t="s">
        <v>257</v>
      </c>
      <c r="P60" s="240"/>
      <c r="Q60" s="230"/>
      <c r="R60" s="236">
        <v>0.9055</v>
      </c>
      <c r="S60" s="243"/>
      <c r="T60" s="242">
        <v>23</v>
      </c>
    </row>
    <row r="61" spans="1:20" ht="9" customHeight="1">
      <c r="A61" s="230"/>
      <c r="B61" s="236">
        <v>0.035</v>
      </c>
      <c r="C61" s="231">
        <v>65</v>
      </c>
      <c r="D61" s="240"/>
      <c r="E61" s="230"/>
      <c r="F61" s="236">
        <v>0.111</v>
      </c>
      <c r="G61" s="231">
        <v>34</v>
      </c>
      <c r="H61" s="240"/>
      <c r="I61" s="230"/>
      <c r="J61" s="236">
        <v>0.228</v>
      </c>
      <c r="K61" s="231">
        <v>1</v>
      </c>
      <c r="L61" s="240"/>
      <c r="M61" s="230"/>
      <c r="N61" s="236">
        <v>0.3701</v>
      </c>
      <c r="O61" s="231"/>
      <c r="P61" s="240">
        <v>9.4</v>
      </c>
      <c r="Q61" s="230" t="s">
        <v>146</v>
      </c>
      <c r="R61" s="236">
        <v>0.9062</v>
      </c>
      <c r="S61" s="243"/>
      <c r="T61" s="242"/>
    </row>
    <row r="62" spans="1:20" ht="9" customHeight="1">
      <c r="A62" s="230"/>
      <c r="B62" s="236">
        <v>0.0354</v>
      </c>
      <c r="C62" s="231"/>
      <c r="D62" s="240">
        <v>0.9</v>
      </c>
      <c r="E62" s="230"/>
      <c r="F62" s="236">
        <v>0.113</v>
      </c>
      <c r="G62" s="231">
        <v>33</v>
      </c>
      <c r="H62" s="240"/>
      <c r="I62" s="230"/>
      <c r="J62" s="236">
        <v>0.2283</v>
      </c>
      <c r="K62" s="231"/>
      <c r="L62" s="240">
        <v>5.8</v>
      </c>
      <c r="M62" s="230"/>
      <c r="N62" s="236">
        <v>0.374</v>
      </c>
      <c r="O62" s="231"/>
      <c r="P62" s="240">
        <v>9.5</v>
      </c>
      <c r="Q62" s="230" t="s">
        <v>149</v>
      </c>
      <c r="R62" s="236">
        <v>0.9219</v>
      </c>
      <c r="S62" s="243"/>
      <c r="T62" s="242"/>
    </row>
    <row r="63" spans="1:20" ht="9" customHeight="1">
      <c r="A63" s="230"/>
      <c r="B63" s="236">
        <v>0.036</v>
      </c>
      <c r="C63" s="231">
        <v>64</v>
      </c>
      <c r="D63" s="240"/>
      <c r="E63" s="230"/>
      <c r="F63" s="236">
        <v>0.1142</v>
      </c>
      <c r="G63" s="231"/>
      <c r="H63" s="240">
        <v>2.9</v>
      </c>
      <c r="I63" s="230"/>
      <c r="J63" s="236">
        <v>0.2323</v>
      </c>
      <c r="K63" s="231"/>
      <c r="L63" s="240">
        <v>5.9</v>
      </c>
      <c r="M63" s="230" t="s">
        <v>145</v>
      </c>
      <c r="N63" s="236">
        <v>0.375</v>
      </c>
      <c r="O63" s="231"/>
      <c r="P63" s="240"/>
      <c r="Q63" s="230"/>
      <c r="R63" s="236">
        <v>0.9252</v>
      </c>
      <c r="S63" s="243"/>
      <c r="T63" s="242">
        <v>23.5</v>
      </c>
    </row>
    <row r="64" spans="1:20" ht="9" customHeight="1">
      <c r="A64" s="230"/>
      <c r="B64" s="236">
        <v>0.037</v>
      </c>
      <c r="C64" s="231">
        <v>63</v>
      </c>
      <c r="D64" s="240"/>
      <c r="E64" s="230"/>
      <c r="F64" s="236">
        <v>0.116</v>
      </c>
      <c r="G64" s="231">
        <v>32</v>
      </c>
      <c r="H64" s="240"/>
      <c r="I64" s="230"/>
      <c r="J64" s="236">
        <v>0.234</v>
      </c>
      <c r="K64" s="231" t="s">
        <v>261</v>
      </c>
      <c r="L64" s="240"/>
      <c r="M64" s="230"/>
      <c r="N64" s="236">
        <v>0.377</v>
      </c>
      <c r="O64" s="231" t="s">
        <v>148</v>
      </c>
      <c r="P64" s="240"/>
      <c r="Q64" s="230" t="s">
        <v>151</v>
      </c>
      <c r="R64" s="236">
        <v>0.9375</v>
      </c>
      <c r="S64" s="243"/>
      <c r="T64" s="242"/>
    </row>
    <row r="65" spans="1:20" ht="9" customHeight="1">
      <c r="A65" s="230"/>
      <c r="B65" s="236">
        <v>0.0374</v>
      </c>
      <c r="C65" s="231"/>
      <c r="D65" s="240">
        <v>0.95</v>
      </c>
      <c r="E65" s="230"/>
      <c r="F65" s="236">
        <v>0.1181</v>
      </c>
      <c r="G65" s="231"/>
      <c r="H65" s="240">
        <v>3</v>
      </c>
      <c r="I65" s="230" t="s">
        <v>144</v>
      </c>
      <c r="J65" s="236">
        <v>0.2344</v>
      </c>
      <c r="K65" s="231"/>
      <c r="L65" s="240"/>
      <c r="M65" s="230"/>
      <c r="N65" s="236">
        <v>0.378</v>
      </c>
      <c r="O65" s="231"/>
      <c r="P65" s="240">
        <v>9.6</v>
      </c>
      <c r="Q65" s="230"/>
      <c r="R65" s="236">
        <v>0.9449</v>
      </c>
      <c r="S65" s="243"/>
      <c r="T65" s="242">
        <v>24</v>
      </c>
    </row>
    <row r="66" spans="1:20" ht="9" customHeight="1">
      <c r="A66" s="230"/>
      <c r="B66" s="236">
        <v>0.038</v>
      </c>
      <c r="C66" s="231">
        <v>62</v>
      </c>
      <c r="D66" s="240"/>
      <c r="E66" s="230"/>
      <c r="F66" s="236">
        <v>0.12</v>
      </c>
      <c r="G66" s="231">
        <v>31</v>
      </c>
      <c r="H66" s="240"/>
      <c r="I66" s="230"/>
      <c r="J66" s="236">
        <v>0.2362</v>
      </c>
      <c r="K66" s="231"/>
      <c r="L66" s="240">
        <v>6</v>
      </c>
      <c r="M66" s="230"/>
      <c r="N66" s="236">
        <v>0.3819</v>
      </c>
      <c r="O66" s="231"/>
      <c r="P66" s="240">
        <v>9.7</v>
      </c>
      <c r="Q66" s="230" t="s">
        <v>153</v>
      </c>
      <c r="R66" s="236">
        <v>0.9531</v>
      </c>
      <c r="S66" s="243"/>
      <c r="T66" s="242"/>
    </row>
    <row r="67" spans="1:20" ht="9" customHeight="1">
      <c r="A67" s="230"/>
      <c r="B67" s="236">
        <v>0.039</v>
      </c>
      <c r="C67" s="231">
        <v>61</v>
      </c>
      <c r="D67" s="240"/>
      <c r="E67" s="230"/>
      <c r="F67" s="236">
        <v>0.122</v>
      </c>
      <c r="G67" s="231"/>
      <c r="H67" s="240">
        <v>3.1</v>
      </c>
      <c r="I67" s="230"/>
      <c r="J67" s="236">
        <v>0.23800000000000002</v>
      </c>
      <c r="K67" s="231" t="s">
        <v>150</v>
      </c>
      <c r="L67" s="240"/>
      <c r="M67" s="230"/>
      <c r="N67" s="236">
        <v>0.3839</v>
      </c>
      <c r="O67" s="231"/>
      <c r="P67" s="240">
        <v>9.75</v>
      </c>
      <c r="Q67" s="230"/>
      <c r="R67" s="236">
        <v>0.9646</v>
      </c>
      <c r="S67" s="243"/>
      <c r="T67" s="242">
        <v>24.5</v>
      </c>
    </row>
    <row r="68" spans="1:20" ht="9" customHeight="1">
      <c r="A68" s="230"/>
      <c r="B68" s="236">
        <v>0.0394</v>
      </c>
      <c r="C68" s="231"/>
      <c r="D68" s="240">
        <v>1</v>
      </c>
      <c r="E68" s="230" t="s">
        <v>147</v>
      </c>
      <c r="F68" s="236">
        <v>0.125</v>
      </c>
      <c r="G68" s="231"/>
      <c r="H68" s="240"/>
      <c r="I68" s="230"/>
      <c r="J68" s="236">
        <v>0.2402</v>
      </c>
      <c r="K68" s="231"/>
      <c r="L68" s="240">
        <v>6.1</v>
      </c>
      <c r="M68" s="230"/>
      <c r="N68" s="236">
        <v>0.3858</v>
      </c>
      <c r="O68" s="231"/>
      <c r="P68" s="240">
        <v>9.8</v>
      </c>
      <c r="Q68" s="230" t="s">
        <v>156</v>
      </c>
      <c r="R68" s="236">
        <v>0.9688</v>
      </c>
      <c r="S68" s="243"/>
      <c r="T68" s="242"/>
    </row>
    <row r="69" spans="1:20" ht="9" customHeight="1">
      <c r="A69" s="230"/>
      <c r="B69" s="236">
        <v>0.04</v>
      </c>
      <c r="C69" s="231">
        <v>60</v>
      </c>
      <c r="D69" s="240"/>
      <c r="E69" s="230"/>
      <c r="F69" s="236">
        <v>0.126</v>
      </c>
      <c r="G69" s="231"/>
      <c r="H69" s="240">
        <v>3.2</v>
      </c>
      <c r="I69" s="230"/>
      <c r="J69" s="236">
        <v>0.242</v>
      </c>
      <c r="K69" s="231" t="s">
        <v>152</v>
      </c>
      <c r="L69" s="240"/>
      <c r="M69" s="230"/>
      <c r="N69" s="236">
        <v>0.386</v>
      </c>
      <c r="O69" s="231" t="s">
        <v>155</v>
      </c>
      <c r="P69" s="240"/>
      <c r="Q69" s="230"/>
      <c r="R69" s="236">
        <v>0.9843</v>
      </c>
      <c r="S69" s="243"/>
      <c r="T69" s="242">
        <v>25</v>
      </c>
    </row>
    <row r="70" spans="1:20" ht="9" customHeight="1">
      <c r="A70" s="230"/>
      <c r="B70" s="236">
        <v>0.041</v>
      </c>
      <c r="C70" s="231">
        <v>59</v>
      </c>
      <c r="D70" s="240"/>
      <c r="E70" s="230"/>
      <c r="F70" s="236">
        <v>0.128</v>
      </c>
      <c r="G70" s="231"/>
      <c r="H70" s="240">
        <v>3.25</v>
      </c>
      <c r="I70" s="230"/>
      <c r="J70" s="236">
        <v>0.2441</v>
      </c>
      <c r="K70" s="231"/>
      <c r="L70" s="240">
        <v>6.2</v>
      </c>
      <c r="M70" s="230"/>
      <c r="N70" s="236">
        <v>0.3898</v>
      </c>
      <c r="O70" s="231"/>
      <c r="P70" s="240">
        <v>9.9</v>
      </c>
      <c r="Q70" s="230" t="s">
        <v>161</v>
      </c>
      <c r="R70" s="236">
        <v>0.9844</v>
      </c>
      <c r="S70" s="243"/>
      <c r="T70" s="242"/>
    </row>
    <row r="71" spans="1:20" ht="9" customHeight="1">
      <c r="A71" s="230"/>
      <c r="B71" s="236">
        <v>0.0413</v>
      </c>
      <c r="C71" s="231"/>
      <c r="D71" s="240">
        <v>1.05</v>
      </c>
      <c r="E71" s="230"/>
      <c r="F71" s="236">
        <v>0.1285</v>
      </c>
      <c r="G71" s="231">
        <v>30</v>
      </c>
      <c r="H71" s="240"/>
      <c r="I71" s="230"/>
      <c r="J71" s="236">
        <v>0.246</v>
      </c>
      <c r="K71" s="231" t="s">
        <v>154</v>
      </c>
      <c r="L71" s="240"/>
      <c r="M71" s="230" t="s">
        <v>158</v>
      </c>
      <c r="N71" s="236">
        <v>0.3906</v>
      </c>
      <c r="O71" s="231"/>
      <c r="P71" s="240"/>
      <c r="Q71" s="230" t="s">
        <v>163</v>
      </c>
      <c r="R71" s="238">
        <v>1</v>
      </c>
      <c r="S71" s="244"/>
      <c r="T71" s="242"/>
    </row>
    <row r="72" spans="1:20" ht="9" customHeight="1">
      <c r="A72" s="230"/>
      <c r="B72" s="253">
        <v>0.042</v>
      </c>
      <c r="C72" s="245">
        <v>58</v>
      </c>
      <c r="D72" s="241"/>
      <c r="E72" s="230"/>
      <c r="F72" s="253">
        <v>0.1299</v>
      </c>
      <c r="G72" s="245"/>
      <c r="H72" s="246">
        <v>3.3</v>
      </c>
      <c r="I72" s="230"/>
      <c r="J72" s="253">
        <v>0.2461</v>
      </c>
      <c r="K72" s="245"/>
      <c r="L72" s="246">
        <v>6.25</v>
      </c>
      <c r="M72" s="230"/>
      <c r="N72" s="253">
        <v>0.3937</v>
      </c>
      <c r="O72" s="245"/>
      <c r="P72" s="246">
        <v>10</v>
      </c>
      <c r="Q72" s="230"/>
      <c r="R72" s="254">
        <v>1.0039</v>
      </c>
      <c r="S72" s="244"/>
      <c r="T72" s="242">
        <v>25.5</v>
      </c>
    </row>
    <row r="73" spans="1:20" ht="9" customHeight="1">
      <c r="A73" s="230"/>
      <c r="B73" s="238">
        <v>0.043000000000000003</v>
      </c>
      <c r="C73" s="247">
        <v>57</v>
      </c>
      <c r="D73" s="248"/>
      <c r="E73" s="230"/>
      <c r="F73" s="238">
        <v>0.1339</v>
      </c>
      <c r="G73" s="247"/>
      <c r="H73" s="248">
        <v>3.4</v>
      </c>
      <c r="I73" s="230"/>
      <c r="J73" s="238">
        <v>0.248</v>
      </c>
      <c r="K73" s="247"/>
      <c r="L73" s="248">
        <v>6.3</v>
      </c>
      <c r="M73" s="234"/>
      <c r="N73" s="238">
        <v>0.397</v>
      </c>
      <c r="O73" s="247" t="s">
        <v>120</v>
      </c>
      <c r="P73" s="248"/>
      <c r="Q73" s="230" t="s">
        <v>166</v>
      </c>
      <c r="R73" s="238">
        <v>1.0156</v>
      </c>
      <c r="S73" s="244"/>
      <c r="T73" s="242"/>
    </row>
    <row r="74" spans="1:20" ht="9" customHeight="1" thickBot="1">
      <c r="A74" s="228"/>
      <c r="B74" s="239">
        <v>0.043300000000000005</v>
      </c>
      <c r="C74" s="249"/>
      <c r="D74" s="250">
        <v>1.1</v>
      </c>
      <c r="E74" s="228"/>
      <c r="F74" s="239">
        <v>0.136</v>
      </c>
      <c r="G74" s="249">
        <v>29</v>
      </c>
      <c r="H74" s="250"/>
      <c r="I74" s="228" t="s">
        <v>159</v>
      </c>
      <c r="J74" s="239">
        <v>0.25</v>
      </c>
      <c r="K74" s="249" t="s">
        <v>160</v>
      </c>
      <c r="L74" s="250"/>
      <c r="M74" s="251"/>
      <c r="N74" s="239">
        <v>0.404</v>
      </c>
      <c r="O74" s="249" t="s">
        <v>101</v>
      </c>
      <c r="P74" s="250"/>
      <c r="Q74" s="228"/>
      <c r="R74" s="239">
        <v>1.0236</v>
      </c>
      <c r="S74" s="249"/>
      <c r="T74" s="252">
        <v>26</v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24"/>
    <pageSetUpPr fitToPage="1"/>
  </sheetPr>
  <dimension ref="B1:K52"/>
  <sheetViews>
    <sheetView showGridLines="0" showRowColHeaders="0" zoomScale="75" zoomScaleNormal="75" zoomScalePageLayoutView="0" workbookViewId="0" topLeftCell="A1">
      <selection activeCell="M36" sqref="M36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6384" width="9.77734375" style="96" customWidth="1"/>
  </cols>
  <sheetData>
    <row r="1" spans="2:11" ht="26.25">
      <c r="B1" s="93" t="s">
        <v>264</v>
      </c>
      <c r="C1" s="92"/>
      <c r="D1" s="92"/>
      <c r="E1" s="92"/>
      <c r="F1" s="92"/>
      <c r="G1" s="92"/>
      <c r="H1" s="92"/>
      <c r="I1" s="92"/>
      <c r="J1" s="92"/>
      <c r="K1" s="95"/>
    </row>
    <row r="2" spans="2:11" ht="22.5" customHeight="1">
      <c r="B2" s="94"/>
      <c r="C2" s="51"/>
      <c r="D2" s="128" t="s">
        <v>265</v>
      </c>
      <c r="E2" s="129" t="s">
        <v>266</v>
      </c>
      <c r="F2" s="129" t="s">
        <v>267</v>
      </c>
      <c r="G2" s="130" t="s">
        <v>90</v>
      </c>
      <c r="H2" s="128" t="s">
        <v>265</v>
      </c>
      <c r="I2" s="129" t="s">
        <v>266</v>
      </c>
      <c r="J2" s="129" t="s">
        <v>267</v>
      </c>
      <c r="K2" s="131" t="s">
        <v>90</v>
      </c>
    </row>
    <row r="3" spans="2:11" ht="15" customHeight="1">
      <c r="B3" s="107" t="s">
        <v>268</v>
      </c>
      <c r="C3" s="125"/>
      <c r="D3" s="158">
        <f>IF(C9="","",1)</f>
      </c>
      <c r="E3" s="159">
        <f>IF(D3="","",ROUND((C7+$C$13)/$C$17,0)*$C$17)</f>
      </c>
      <c r="F3" s="159">
        <f>IF(D3="","",ROUND((C8+$C$14)/$C$17,0)*$C$17)</f>
      </c>
      <c r="G3" s="160">
        <f>IF(D3="","",0)</f>
      </c>
      <c r="H3" s="158">
        <f>IF(D52=ABS($C$9),"",IF(D52="","",D52+1))</f>
      </c>
      <c r="I3" s="161">
        <f>IF(H3="","",ROUND((((COS(K3/180*PI())*$C$7)+(SIN(K3/180*PI())*$C$8))+$C$13)/$C$17,0)*$C$17)</f>
      </c>
      <c r="J3" s="161">
        <f>IF(H3="","",ROUND((((COS(K3/180*PI())*$C$8)-(SIN(K3/180*PI())*$C$7))+$C$14)/$C$17,0)*$C$17)</f>
      </c>
      <c r="K3" s="162">
        <f>IF(H3="","",G52+$G$4)</f>
      </c>
    </row>
    <row r="4" spans="2:11" ht="15.75">
      <c r="B4" s="124" t="s">
        <v>269</v>
      </c>
      <c r="C4" s="125"/>
      <c r="D4" s="158">
        <f>IF(D3=ABS($C$9),"",IF(D3="","",D3+1))</f>
      </c>
      <c r="E4" s="161">
        <f>IF(D4="","",ROUND((((COS(G4/180*PI())*$C$7)+(SIN(G4/180*PI())*$C$8))+$C$13)/$C$17,0)*$C$17)</f>
      </c>
      <c r="F4" s="161">
        <f>IF(D4="","",ROUND((((COS(G4/180*PI())*$C$8)-(SIN(G4/180*PI())*$C$7))+$C$14)/$C$17,0)*$C$17)</f>
      </c>
      <c r="G4" s="163">
        <f>IF(D4="","",360/C9)</f>
      </c>
      <c r="H4" s="158">
        <f>IF(H3=ABS($C$9),"",IF(H3="","",H3+1))</f>
      </c>
      <c r="I4" s="161">
        <f aca="true" t="shared" si="0" ref="I4:I52">IF(H4="","",ROUND((((COS(K4/180*PI())*$C$7)+(SIN(K4/180*PI())*$C$8))+$C$13)/$C$17,0)*$C$17)</f>
      </c>
      <c r="J4" s="161">
        <f aca="true" t="shared" si="1" ref="J4:J52">IF(H4="","",ROUND((((COS(K4/180*PI())*$C$8)-(SIN(K4/180*PI())*$C$7))+$C$14)/$C$17,0)*$C$17)</f>
      </c>
      <c r="K4" s="162">
        <f>IF(H4="","",K3+$G$4)</f>
      </c>
    </row>
    <row r="5" spans="2:11" ht="15.75">
      <c r="B5" s="107" t="s">
        <v>881</v>
      </c>
      <c r="C5" s="125"/>
      <c r="D5" s="158">
        <f aca="true" t="shared" si="2" ref="D5:D20">IF(D4=ABS($C$9),"",IF(D4="","",D4+1))</f>
      </c>
      <c r="E5" s="161">
        <f aca="true" t="shared" si="3" ref="E5:E52">IF(D5="","",ROUND((((COS(G5/180*PI())*$C$7)+(SIN(G5/180*PI())*$C$8))+$C$13)/$C$17,0)*$C$17)</f>
      </c>
      <c r="F5" s="161">
        <f aca="true" t="shared" si="4" ref="F5:F52">IF(D5="","",ROUND((((COS(G5/180*PI())*$C$8)-(SIN(G5/180*PI())*$C$7))+$C$14)/$C$17,0)*$C$17)</f>
      </c>
      <c r="G5" s="163">
        <f>IF(D5="","",G4*2)</f>
      </c>
      <c r="H5" s="158">
        <f aca="true" t="shared" si="5" ref="H5:H20">IF(H4=ABS($C$9),"",IF(H4="","",H4+1))</f>
      </c>
      <c r="I5" s="161">
        <f t="shared" si="0"/>
      </c>
      <c r="J5" s="161">
        <f t="shared" si="1"/>
      </c>
      <c r="K5" s="162">
        <f aca="true" t="shared" si="6" ref="K5:K20">IF(H5="","",K4+$G$4)</f>
      </c>
    </row>
    <row r="6" spans="2:11" ht="15.75">
      <c r="B6" s="126" t="s">
        <v>880</v>
      </c>
      <c r="C6" s="105"/>
      <c r="D6" s="158">
        <f t="shared" si="2"/>
      </c>
      <c r="E6" s="161">
        <f t="shared" si="3"/>
      </c>
      <c r="F6" s="161">
        <f t="shared" si="4"/>
      </c>
      <c r="G6" s="163">
        <f>IF(D6="","",G5+$G$4)</f>
      </c>
      <c r="H6" s="158">
        <f t="shared" si="5"/>
      </c>
      <c r="I6" s="161">
        <f t="shared" si="0"/>
      </c>
      <c r="J6" s="161">
        <f t="shared" si="1"/>
      </c>
      <c r="K6" s="162">
        <f t="shared" si="6"/>
      </c>
    </row>
    <row r="7" spans="2:11" ht="15">
      <c r="B7" s="97" t="s">
        <v>270</v>
      </c>
      <c r="C7" s="156"/>
      <c r="D7" s="158">
        <f t="shared" si="2"/>
      </c>
      <c r="E7" s="161">
        <f t="shared" si="3"/>
      </c>
      <c r="F7" s="161">
        <f t="shared" si="4"/>
      </c>
      <c r="G7" s="163">
        <f aca="true" t="shared" si="7" ref="G7:G22">IF(D7="","",G6+$G$4)</f>
      </c>
      <c r="H7" s="158">
        <f t="shared" si="5"/>
      </c>
      <c r="I7" s="161">
        <f t="shared" si="0"/>
      </c>
      <c r="J7" s="161">
        <f t="shared" si="1"/>
      </c>
      <c r="K7" s="162">
        <f t="shared" si="6"/>
      </c>
    </row>
    <row r="8" spans="2:11" ht="15">
      <c r="B8" s="97" t="s">
        <v>271</v>
      </c>
      <c r="C8" s="156"/>
      <c r="D8" s="158">
        <f t="shared" si="2"/>
      </c>
      <c r="E8" s="161">
        <f t="shared" si="3"/>
      </c>
      <c r="F8" s="161">
        <f t="shared" si="4"/>
      </c>
      <c r="G8" s="163">
        <f t="shared" si="7"/>
      </c>
      <c r="H8" s="158">
        <f t="shared" si="5"/>
      </c>
      <c r="I8" s="161">
        <f t="shared" si="0"/>
      </c>
      <c r="J8" s="161">
        <f t="shared" si="1"/>
      </c>
      <c r="K8" s="162">
        <f t="shared" si="6"/>
      </c>
    </row>
    <row r="9" spans="2:11" ht="15">
      <c r="B9" s="97" t="s">
        <v>272</v>
      </c>
      <c r="C9" s="157"/>
      <c r="D9" s="158">
        <f t="shared" si="2"/>
      </c>
      <c r="E9" s="161">
        <f t="shared" si="3"/>
      </c>
      <c r="F9" s="161">
        <f t="shared" si="4"/>
      </c>
      <c r="G9" s="163">
        <f t="shared" si="7"/>
      </c>
      <c r="H9" s="158">
        <f t="shared" si="5"/>
      </c>
      <c r="I9" s="161">
        <f t="shared" si="0"/>
      </c>
      <c r="J9" s="161">
        <f t="shared" si="1"/>
      </c>
      <c r="K9" s="162">
        <f t="shared" si="6"/>
      </c>
    </row>
    <row r="10" spans="2:11" ht="15">
      <c r="B10" s="99"/>
      <c r="C10" s="98"/>
      <c r="D10" s="158">
        <f t="shared" si="2"/>
      </c>
      <c r="E10" s="161">
        <f t="shared" si="3"/>
      </c>
      <c r="F10" s="161">
        <f t="shared" si="4"/>
      </c>
      <c r="G10" s="163">
        <f t="shared" si="7"/>
      </c>
      <c r="H10" s="158">
        <f t="shared" si="5"/>
      </c>
      <c r="I10" s="161">
        <f t="shared" si="0"/>
      </c>
      <c r="J10" s="161">
        <f t="shared" si="1"/>
      </c>
      <c r="K10" s="162">
        <f t="shared" si="6"/>
      </c>
    </row>
    <row r="11" spans="2:11" ht="15.75">
      <c r="B11" s="124" t="s">
        <v>273</v>
      </c>
      <c r="C11" s="105"/>
      <c r="D11" s="158">
        <f t="shared" si="2"/>
      </c>
      <c r="E11" s="161">
        <f t="shared" si="3"/>
      </c>
      <c r="F11" s="161">
        <f t="shared" si="4"/>
      </c>
      <c r="G11" s="163">
        <f t="shared" si="7"/>
      </c>
      <c r="H11" s="158">
        <f t="shared" si="5"/>
      </c>
      <c r="I11" s="161">
        <f t="shared" si="0"/>
      </c>
      <c r="J11" s="161">
        <f t="shared" si="1"/>
      </c>
      <c r="K11" s="162">
        <f t="shared" si="6"/>
      </c>
    </row>
    <row r="12" spans="2:11" ht="15.75">
      <c r="B12" s="107" t="s">
        <v>274</v>
      </c>
      <c r="C12" s="105"/>
      <c r="D12" s="158">
        <f t="shared" si="2"/>
      </c>
      <c r="E12" s="161">
        <f t="shared" si="3"/>
      </c>
      <c r="F12" s="161">
        <f t="shared" si="4"/>
      </c>
      <c r="G12" s="163">
        <f t="shared" si="7"/>
      </c>
      <c r="H12" s="158">
        <f t="shared" si="5"/>
      </c>
      <c r="I12" s="161">
        <f t="shared" si="0"/>
      </c>
      <c r="J12" s="161">
        <f t="shared" si="1"/>
      </c>
      <c r="K12" s="162">
        <f t="shared" si="6"/>
      </c>
    </row>
    <row r="13" spans="2:11" ht="15">
      <c r="B13" s="106" t="s">
        <v>275</v>
      </c>
      <c r="C13" s="156">
        <v>0</v>
      </c>
      <c r="D13" s="158">
        <f t="shared" si="2"/>
      </c>
      <c r="E13" s="161">
        <f t="shared" si="3"/>
      </c>
      <c r="F13" s="161">
        <f t="shared" si="4"/>
      </c>
      <c r="G13" s="163">
        <f t="shared" si="7"/>
      </c>
      <c r="H13" s="158">
        <f t="shared" si="5"/>
      </c>
      <c r="I13" s="161">
        <f t="shared" si="0"/>
      </c>
      <c r="J13" s="161">
        <f t="shared" si="1"/>
      </c>
      <c r="K13" s="162">
        <f t="shared" si="6"/>
      </c>
    </row>
    <row r="14" spans="2:11" ht="15">
      <c r="B14" s="97" t="s">
        <v>276</v>
      </c>
      <c r="C14" s="156">
        <v>0</v>
      </c>
      <c r="D14" s="158">
        <f t="shared" si="2"/>
      </c>
      <c r="E14" s="161">
        <f t="shared" si="3"/>
      </c>
      <c r="F14" s="161">
        <f t="shared" si="4"/>
      </c>
      <c r="G14" s="163">
        <f t="shared" si="7"/>
      </c>
      <c r="H14" s="158">
        <f t="shared" si="5"/>
      </c>
      <c r="I14" s="161">
        <f t="shared" si="0"/>
      </c>
      <c r="J14" s="161">
        <f t="shared" si="1"/>
      </c>
      <c r="K14" s="162">
        <f t="shared" si="6"/>
      </c>
    </row>
    <row r="15" spans="2:11" ht="15">
      <c r="B15" s="94"/>
      <c r="C15" s="51"/>
      <c r="D15" s="158">
        <f t="shared" si="2"/>
      </c>
      <c r="E15" s="161">
        <f t="shared" si="3"/>
      </c>
      <c r="F15" s="161">
        <f t="shared" si="4"/>
      </c>
      <c r="G15" s="163">
        <f t="shared" si="7"/>
      </c>
      <c r="H15" s="158">
        <f t="shared" si="5"/>
      </c>
      <c r="I15" s="161">
        <f t="shared" si="0"/>
      </c>
      <c r="J15" s="161">
        <f t="shared" si="1"/>
      </c>
      <c r="K15" s="162">
        <f t="shared" si="6"/>
      </c>
    </row>
    <row r="16" spans="2:11" ht="15.75">
      <c r="B16" s="442" t="s">
        <v>878</v>
      </c>
      <c r="C16" s="440"/>
      <c r="D16" s="158">
        <f t="shared" si="2"/>
      </c>
      <c r="E16" s="161">
        <f t="shared" si="3"/>
      </c>
      <c r="F16" s="161">
        <f t="shared" si="4"/>
      </c>
      <c r="G16" s="163">
        <f t="shared" si="7"/>
      </c>
      <c r="H16" s="158">
        <f t="shared" si="5"/>
      </c>
      <c r="I16" s="161">
        <f t="shared" si="0"/>
      </c>
      <c r="J16" s="161">
        <f t="shared" si="1"/>
      </c>
      <c r="K16" s="162">
        <f t="shared" si="6"/>
      </c>
    </row>
    <row r="17" spans="2:11" ht="15">
      <c r="B17" s="443" t="s">
        <v>879</v>
      </c>
      <c r="C17" s="444">
        <v>0.0001</v>
      </c>
      <c r="D17" s="158">
        <f t="shared" si="2"/>
      </c>
      <c r="E17" s="161">
        <f t="shared" si="3"/>
      </c>
      <c r="F17" s="161">
        <f t="shared" si="4"/>
      </c>
      <c r="G17" s="163">
        <f t="shared" si="7"/>
      </c>
      <c r="H17" s="158">
        <f t="shared" si="5"/>
      </c>
      <c r="I17" s="161">
        <f t="shared" si="0"/>
      </c>
      <c r="J17" s="161">
        <f t="shared" si="1"/>
      </c>
      <c r="K17" s="162">
        <f t="shared" si="6"/>
      </c>
    </row>
    <row r="18" spans="2:11" ht="15">
      <c r="B18" s="100"/>
      <c r="C18" s="441"/>
      <c r="D18" s="158">
        <f t="shared" si="2"/>
      </c>
      <c r="E18" s="161">
        <f t="shared" si="3"/>
      </c>
      <c r="F18" s="161">
        <f t="shared" si="4"/>
      </c>
      <c r="G18" s="163">
        <f t="shared" si="7"/>
      </c>
      <c r="H18" s="158">
        <f t="shared" si="5"/>
      </c>
      <c r="I18" s="161">
        <f t="shared" si="0"/>
      </c>
      <c r="J18" s="161">
        <f t="shared" si="1"/>
      </c>
      <c r="K18" s="162">
        <f t="shared" si="6"/>
      </c>
    </row>
    <row r="19" spans="2:11" ht="15.75">
      <c r="B19" s="447"/>
      <c r="C19" s="101"/>
      <c r="D19" s="158">
        <f t="shared" si="2"/>
      </c>
      <c r="E19" s="161">
        <f t="shared" si="3"/>
      </c>
      <c r="F19" s="161">
        <f t="shared" si="4"/>
      </c>
      <c r="G19" s="163">
        <f t="shared" si="7"/>
      </c>
      <c r="H19" s="158">
        <f t="shared" si="5"/>
      </c>
      <c r="I19" s="161">
        <f t="shared" si="0"/>
      </c>
      <c r="J19" s="161">
        <f t="shared" si="1"/>
      </c>
      <c r="K19" s="162">
        <f t="shared" si="6"/>
      </c>
    </row>
    <row r="20" spans="2:11" ht="15.75">
      <c r="B20" s="448"/>
      <c r="C20" s="101"/>
      <c r="D20" s="158">
        <f t="shared" si="2"/>
      </c>
      <c r="E20" s="161">
        <f t="shared" si="3"/>
      </c>
      <c r="F20" s="161">
        <f t="shared" si="4"/>
      </c>
      <c r="G20" s="163">
        <f t="shared" si="7"/>
      </c>
      <c r="H20" s="158">
        <f t="shared" si="5"/>
      </c>
      <c r="I20" s="161">
        <f t="shared" si="0"/>
      </c>
      <c r="J20" s="161">
        <f t="shared" si="1"/>
      </c>
      <c r="K20" s="162">
        <f t="shared" si="6"/>
      </c>
    </row>
    <row r="21" spans="2:11" ht="15">
      <c r="B21" s="97"/>
      <c r="C21" s="101"/>
      <c r="D21" s="158">
        <f aca="true" t="shared" si="8" ref="D21:D36">IF(D20=ABS($C$9),"",IF(D20="","",D20+1))</f>
      </c>
      <c r="E21" s="161">
        <f t="shared" si="3"/>
      </c>
      <c r="F21" s="161">
        <f t="shared" si="4"/>
      </c>
      <c r="G21" s="163">
        <f t="shared" si="7"/>
      </c>
      <c r="H21" s="158">
        <f aca="true" t="shared" si="9" ref="H21:H36">IF(H20=ABS($C$9),"",IF(H20="","",H20+1))</f>
      </c>
      <c r="I21" s="161">
        <f t="shared" si="0"/>
      </c>
      <c r="J21" s="161">
        <f t="shared" si="1"/>
      </c>
      <c r="K21" s="162">
        <f aca="true" t="shared" si="10" ref="K21:K36">IF(H21="","",K20+$G$4)</f>
      </c>
    </row>
    <row r="22" spans="2:11" ht="15">
      <c r="B22" s="97"/>
      <c r="C22" s="101"/>
      <c r="D22" s="158">
        <f t="shared" si="8"/>
      </c>
      <c r="E22" s="161">
        <f t="shared" si="3"/>
      </c>
      <c r="F22" s="161">
        <f t="shared" si="4"/>
      </c>
      <c r="G22" s="163">
        <f t="shared" si="7"/>
      </c>
      <c r="H22" s="158">
        <f t="shared" si="9"/>
      </c>
      <c r="I22" s="161">
        <f t="shared" si="0"/>
      </c>
      <c r="J22" s="161">
        <f t="shared" si="1"/>
      </c>
      <c r="K22" s="162">
        <f t="shared" si="10"/>
      </c>
    </row>
    <row r="23" spans="2:11" ht="15">
      <c r="B23" s="97"/>
      <c r="C23" s="101"/>
      <c r="D23" s="158">
        <f t="shared" si="8"/>
      </c>
      <c r="E23" s="161">
        <f t="shared" si="3"/>
      </c>
      <c r="F23" s="161">
        <f t="shared" si="4"/>
      </c>
      <c r="G23" s="163">
        <f aca="true" t="shared" si="11" ref="G23:G38">IF(D23="","",G22+$G$4)</f>
      </c>
      <c r="H23" s="158">
        <f t="shared" si="9"/>
      </c>
      <c r="I23" s="161">
        <f t="shared" si="0"/>
      </c>
      <c r="J23" s="161">
        <f t="shared" si="1"/>
      </c>
      <c r="K23" s="162">
        <f t="shared" si="10"/>
      </c>
    </row>
    <row r="24" spans="2:11" ht="15">
      <c r="B24" s="97"/>
      <c r="C24" s="101"/>
      <c r="D24" s="158">
        <f t="shared" si="8"/>
      </c>
      <c r="E24" s="161">
        <f t="shared" si="3"/>
      </c>
      <c r="F24" s="161">
        <f t="shared" si="4"/>
      </c>
      <c r="G24" s="163">
        <f t="shared" si="11"/>
      </c>
      <c r="H24" s="158">
        <f t="shared" si="9"/>
      </c>
      <c r="I24" s="161">
        <f t="shared" si="0"/>
      </c>
      <c r="J24" s="161">
        <f t="shared" si="1"/>
      </c>
      <c r="K24" s="162">
        <f t="shared" si="10"/>
      </c>
    </row>
    <row r="25" spans="2:11" ht="15">
      <c r="B25" s="97"/>
      <c r="C25" s="101" t="s">
        <v>277</v>
      </c>
      <c r="D25" s="158">
        <f t="shared" si="8"/>
      </c>
      <c r="E25" s="161">
        <f t="shared" si="3"/>
      </c>
      <c r="F25" s="161">
        <f t="shared" si="4"/>
      </c>
      <c r="G25" s="163">
        <f t="shared" si="11"/>
      </c>
      <c r="H25" s="158">
        <f t="shared" si="9"/>
      </c>
      <c r="I25" s="161">
        <f t="shared" si="0"/>
      </c>
      <c r="J25" s="161">
        <f t="shared" si="1"/>
      </c>
      <c r="K25" s="162">
        <f t="shared" si="10"/>
      </c>
    </row>
    <row r="26" spans="2:11" ht="15">
      <c r="B26" s="97"/>
      <c r="C26" s="101" t="s">
        <v>278</v>
      </c>
      <c r="D26" s="158">
        <f t="shared" si="8"/>
      </c>
      <c r="E26" s="161">
        <f t="shared" si="3"/>
      </c>
      <c r="F26" s="161">
        <f t="shared" si="4"/>
      </c>
      <c r="G26" s="163">
        <f t="shared" si="11"/>
      </c>
      <c r="H26" s="158">
        <f t="shared" si="9"/>
      </c>
      <c r="I26" s="161">
        <f t="shared" si="0"/>
      </c>
      <c r="J26" s="161">
        <f t="shared" si="1"/>
      </c>
      <c r="K26" s="162">
        <f t="shared" si="10"/>
      </c>
    </row>
    <row r="27" spans="2:11" ht="15">
      <c r="B27" s="97"/>
      <c r="C27" s="133" t="s">
        <v>279</v>
      </c>
      <c r="D27" s="158">
        <f t="shared" si="8"/>
      </c>
      <c r="E27" s="161">
        <f t="shared" si="3"/>
      </c>
      <c r="F27" s="161">
        <f t="shared" si="4"/>
      </c>
      <c r="G27" s="163">
        <f t="shared" si="11"/>
      </c>
      <c r="H27" s="158">
        <f t="shared" si="9"/>
      </c>
      <c r="I27" s="161">
        <f t="shared" si="0"/>
      </c>
      <c r="J27" s="161">
        <f t="shared" si="1"/>
      </c>
      <c r="K27" s="162">
        <f t="shared" si="10"/>
      </c>
    </row>
    <row r="28" spans="2:11" ht="15">
      <c r="B28" s="97"/>
      <c r="C28" s="101"/>
      <c r="D28" s="158">
        <f t="shared" si="8"/>
      </c>
      <c r="E28" s="161">
        <f t="shared" si="3"/>
      </c>
      <c r="F28" s="161">
        <f t="shared" si="4"/>
      </c>
      <c r="G28" s="163">
        <f t="shared" si="11"/>
      </c>
      <c r="H28" s="158">
        <f t="shared" si="9"/>
      </c>
      <c r="I28" s="161">
        <f t="shared" si="0"/>
      </c>
      <c r="J28" s="161">
        <f t="shared" si="1"/>
      </c>
      <c r="K28" s="162">
        <f t="shared" si="10"/>
      </c>
    </row>
    <row r="29" spans="2:11" ht="15">
      <c r="B29" s="172" t="s">
        <v>280</v>
      </c>
      <c r="C29" s="102"/>
      <c r="D29" s="158">
        <f t="shared" si="8"/>
      </c>
      <c r="E29" s="161">
        <f t="shared" si="3"/>
      </c>
      <c r="F29" s="161">
        <f t="shared" si="4"/>
      </c>
      <c r="G29" s="163">
        <f t="shared" si="11"/>
      </c>
      <c r="H29" s="158">
        <f t="shared" si="9"/>
      </c>
      <c r="I29" s="161">
        <f t="shared" si="0"/>
      </c>
      <c r="J29" s="161">
        <f t="shared" si="1"/>
      </c>
      <c r="K29" s="162">
        <f t="shared" si="10"/>
      </c>
    </row>
    <row r="30" spans="2:11" ht="15">
      <c r="B30" s="97">
        <f>IF(G4="","",TRUNC(G4))</f>
      </c>
      <c r="C30" s="98" t="s">
        <v>90</v>
      </c>
      <c r="D30" s="158">
        <f t="shared" si="8"/>
      </c>
      <c r="E30" s="161">
        <f t="shared" si="3"/>
      </c>
      <c r="F30" s="161">
        <f t="shared" si="4"/>
      </c>
      <c r="G30" s="163">
        <f t="shared" si="11"/>
      </c>
      <c r="H30" s="158">
        <f t="shared" si="9"/>
      </c>
      <c r="I30" s="161">
        <f t="shared" si="0"/>
      </c>
      <c r="J30" s="161">
        <f t="shared" si="1"/>
      </c>
      <c r="K30" s="162">
        <f t="shared" si="10"/>
      </c>
    </row>
    <row r="31" spans="2:11" ht="15">
      <c r="B31" s="97">
        <f>IF(G4="","",TRUNC((G4-B30)*60))</f>
      </c>
      <c r="C31" s="98" t="s">
        <v>111</v>
      </c>
      <c r="D31" s="158">
        <f t="shared" si="8"/>
      </c>
      <c r="E31" s="161">
        <f t="shared" si="3"/>
      </c>
      <c r="F31" s="161">
        <f t="shared" si="4"/>
      </c>
      <c r="G31" s="163">
        <f t="shared" si="11"/>
      </c>
      <c r="H31" s="158">
        <f t="shared" si="9"/>
      </c>
      <c r="I31" s="161">
        <f t="shared" si="0"/>
      </c>
      <c r="J31" s="161">
        <f t="shared" si="1"/>
      </c>
      <c r="K31" s="162">
        <f t="shared" si="10"/>
      </c>
    </row>
    <row r="32" spans="2:11" ht="15">
      <c r="B32" s="97">
        <f>IF(G4="","",((G4-B30)*60-B31)*60)</f>
      </c>
      <c r="C32" s="98" t="s">
        <v>112</v>
      </c>
      <c r="D32" s="158">
        <f t="shared" si="8"/>
      </c>
      <c r="E32" s="161">
        <f t="shared" si="3"/>
      </c>
      <c r="F32" s="161">
        <f t="shared" si="4"/>
      </c>
      <c r="G32" s="163">
        <f t="shared" si="11"/>
      </c>
      <c r="H32" s="158">
        <f t="shared" si="9"/>
      </c>
      <c r="I32" s="161">
        <f t="shared" si="0"/>
      </c>
      <c r="J32" s="161">
        <f t="shared" si="1"/>
      </c>
      <c r="K32" s="162">
        <f t="shared" si="10"/>
      </c>
    </row>
    <row r="33" spans="2:11" ht="15">
      <c r="B33" s="97"/>
      <c r="C33" s="101"/>
      <c r="D33" s="158">
        <f t="shared" si="8"/>
      </c>
      <c r="E33" s="161">
        <f t="shared" si="3"/>
      </c>
      <c r="F33" s="161">
        <f t="shared" si="4"/>
      </c>
      <c r="G33" s="163">
        <f t="shared" si="11"/>
      </c>
      <c r="H33" s="158">
        <f t="shared" si="9"/>
      </c>
      <c r="I33" s="161">
        <f t="shared" si="0"/>
      </c>
      <c r="J33" s="161">
        <f t="shared" si="1"/>
      </c>
      <c r="K33" s="162">
        <f t="shared" si="10"/>
      </c>
    </row>
    <row r="34" spans="2:11" ht="15">
      <c r="B34" s="97"/>
      <c r="C34" s="101"/>
      <c r="D34" s="158">
        <f t="shared" si="8"/>
      </c>
      <c r="E34" s="161">
        <f t="shared" si="3"/>
      </c>
      <c r="F34" s="161">
        <f t="shared" si="4"/>
      </c>
      <c r="G34" s="163">
        <f t="shared" si="11"/>
      </c>
      <c r="H34" s="158">
        <f t="shared" si="9"/>
      </c>
      <c r="I34" s="161">
        <f t="shared" si="0"/>
      </c>
      <c r="J34" s="161">
        <f t="shared" si="1"/>
      </c>
      <c r="K34" s="162">
        <f t="shared" si="10"/>
      </c>
    </row>
    <row r="35" spans="2:11" ht="15">
      <c r="B35" s="97"/>
      <c r="C35" s="101"/>
      <c r="D35" s="158">
        <f t="shared" si="8"/>
      </c>
      <c r="E35" s="161">
        <f t="shared" si="3"/>
      </c>
      <c r="F35" s="161">
        <f t="shared" si="4"/>
      </c>
      <c r="G35" s="163">
        <f t="shared" si="11"/>
      </c>
      <c r="H35" s="158">
        <f t="shared" si="9"/>
      </c>
      <c r="I35" s="161">
        <f t="shared" si="0"/>
      </c>
      <c r="J35" s="161">
        <f t="shared" si="1"/>
      </c>
      <c r="K35" s="162">
        <f t="shared" si="10"/>
      </c>
    </row>
    <row r="36" spans="2:11" ht="15">
      <c r="B36" s="97"/>
      <c r="C36" s="101"/>
      <c r="D36" s="158">
        <f t="shared" si="8"/>
      </c>
      <c r="E36" s="161">
        <f t="shared" si="3"/>
      </c>
      <c r="F36" s="161">
        <f t="shared" si="4"/>
      </c>
      <c r="G36" s="163">
        <f t="shared" si="11"/>
      </c>
      <c r="H36" s="158">
        <f t="shared" si="9"/>
      </c>
      <c r="I36" s="161">
        <f t="shared" si="0"/>
      </c>
      <c r="J36" s="161">
        <f t="shared" si="1"/>
      </c>
      <c r="K36" s="162">
        <f t="shared" si="10"/>
      </c>
    </row>
    <row r="37" spans="2:11" ht="15">
      <c r="B37" s="97"/>
      <c r="C37" s="101"/>
      <c r="D37" s="158">
        <f aca="true" t="shared" si="12" ref="D37:D52">IF(D36=ABS($C$9),"",IF(D36="","",D36+1))</f>
      </c>
      <c r="E37" s="161">
        <f t="shared" si="3"/>
      </c>
      <c r="F37" s="161">
        <f t="shared" si="4"/>
      </c>
      <c r="G37" s="163">
        <f t="shared" si="11"/>
      </c>
      <c r="H37" s="158">
        <f aca="true" t="shared" si="13" ref="H37:H52">IF(H36=ABS($C$9),"",IF(H36="","",H36+1))</f>
      </c>
      <c r="I37" s="161">
        <f t="shared" si="0"/>
      </c>
      <c r="J37" s="161">
        <f t="shared" si="1"/>
      </c>
      <c r="K37" s="162">
        <f aca="true" t="shared" si="14" ref="K37:K52">IF(H37="","",K36+$G$4)</f>
      </c>
    </row>
    <row r="38" spans="2:11" ht="15">
      <c r="B38" s="97"/>
      <c r="C38" s="101"/>
      <c r="D38" s="158">
        <f t="shared" si="12"/>
      </c>
      <c r="E38" s="161">
        <f t="shared" si="3"/>
      </c>
      <c r="F38" s="161">
        <f t="shared" si="4"/>
      </c>
      <c r="G38" s="163">
        <f t="shared" si="11"/>
      </c>
      <c r="H38" s="158">
        <f t="shared" si="13"/>
      </c>
      <c r="I38" s="161">
        <f t="shared" si="0"/>
      </c>
      <c r="J38" s="161">
        <f t="shared" si="1"/>
      </c>
      <c r="K38" s="162">
        <f t="shared" si="14"/>
      </c>
    </row>
    <row r="39" spans="2:11" ht="15.75">
      <c r="B39" s="442" t="s">
        <v>896</v>
      </c>
      <c r="C39" s="453"/>
      <c r="D39" s="158">
        <f t="shared" si="12"/>
      </c>
      <c r="E39" s="161">
        <f t="shared" si="3"/>
      </c>
      <c r="F39" s="161">
        <f t="shared" si="4"/>
      </c>
      <c r="G39" s="163">
        <f aca="true" t="shared" si="15" ref="G39:G52">IF(D39="","",G38+$G$4)</f>
      </c>
      <c r="H39" s="158">
        <f t="shared" si="13"/>
      </c>
      <c r="I39" s="161">
        <f t="shared" si="0"/>
      </c>
      <c r="J39" s="161">
        <f t="shared" si="1"/>
      </c>
      <c r="K39" s="162">
        <f t="shared" si="14"/>
      </c>
    </row>
    <row r="40" spans="2:11" ht="15">
      <c r="B40" s="459">
        <f>IF(C9="","",IF(C9&gt;0,"Clockwise    &gt;","&lt;    Counter Clockwise"))</f>
      </c>
      <c r="C40" s="102"/>
      <c r="D40" s="158">
        <f t="shared" si="12"/>
      </c>
      <c r="E40" s="161">
        <f t="shared" si="3"/>
      </c>
      <c r="F40" s="161">
        <f t="shared" si="4"/>
      </c>
      <c r="G40" s="163">
        <f t="shared" si="15"/>
      </c>
      <c r="H40" s="158">
        <f t="shared" si="13"/>
      </c>
      <c r="I40" s="161">
        <f t="shared" si="0"/>
      </c>
      <c r="J40" s="161">
        <f t="shared" si="1"/>
      </c>
      <c r="K40" s="162">
        <f t="shared" si="14"/>
      </c>
    </row>
    <row r="41" spans="2:11" ht="15">
      <c r="B41" s="97"/>
      <c r="C41" s="101"/>
      <c r="D41" s="158">
        <f t="shared" si="12"/>
      </c>
      <c r="E41" s="161">
        <f t="shared" si="3"/>
      </c>
      <c r="F41" s="161">
        <f t="shared" si="4"/>
      </c>
      <c r="G41" s="163">
        <f t="shared" si="15"/>
      </c>
      <c r="H41" s="158">
        <f t="shared" si="13"/>
      </c>
      <c r="I41" s="161">
        <f t="shared" si="0"/>
      </c>
      <c r="J41" s="161">
        <f t="shared" si="1"/>
      </c>
      <c r="K41" s="162">
        <f t="shared" si="14"/>
      </c>
    </row>
    <row r="42" spans="2:11" ht="15">
      <c r="B42" s="97"/>
      <c r="C42" s="101"/>
      <c r="D42" s="158">
        <f t="shared" si="12"/>
      </c>
      <c r="E42" s="161">
        <f t="shared" si="3"/>
      </c>
      <c r="F42" s="161">
        <f t="shared" si="4"/>
      </c>
      <c r="G42" s="163">
        <f t="shared" si="15"/>
      </c>
      <c r="H42" s="158">
        <f t="shared" si="13"/>
      </c>
      <c r="I42" s="161">
        <f t="shared" si="0"/>
      </c>
      <c r="J42" s="161">
        <f t="shared" si="1"/>
      </c>
      <c r="K42" s="162">
        <f t="shared" si="14"/>
      </c>
    </row>
    <row r="43" spans="2:11" ht="15">
      <c r="B43" s="97"/>
      <c r="C43" s="101"/>
      <c r="D43" s="158">
        <f t="shared" si="12"/>
      </c>
      <c r="E43" s="161">
        <f t="shared" si="3"/>
      </c>
      <c r="F43" s="161">
        <f t="shared" si="4"/>
      </c>
      <c r="G43" s="163">
        <f t="shared" si="15"/>
      </c>
      <c r="H43" s="158">
        <f t="shared" si="13"/>
      </c>
      <c r="I43" s="161">
        <f t="shared" si="0"/>
      </c>
      <c r="J43" s="161">
        <f t="shared" si="1"/>
      </c>
      <c r="K43" s="162">
        <f t="shared" si="14"/>
      </c>
    </row>
    <row r="44" spans="2:11" ht="15">
      <c r="B44" s="97"/>
      <c r="C44" s="101"/>
      <c r="D44" s="158">
        <f t="shared" si="12"/>
      </c>
      <c r="E44" s="161">
        <f t="shared" si="3"/>
      </c>
      <c r="F44" s="161">
        <f t="shared" si="4"/>
      </c>
      <c r="G44" s="163">
        <f t="shared" si="15"/>
      </c>
      <c r="H44" s="158">
        <f t="shared" si="13"/>
      </c>
      <c r="I44" s="161">
        <f t="shared" si="0"/>
      </c>
      <c r="J44" s="161">
        <f t="shared" si="1"/>
      </c>
      <c r="K44" s="162">
        <f t="shared" si="14"/>
      </c>
    </row>
    <row r="45" spans="2:11" ht="15">
      <c r="B45" s="97" t="s">
        <v>296</v>
      </c>
      <c r="C45" s="98" t="s">
        <v>893</v>
      </c>
      <c r="D45" s="158">
        <f t="shared" si="12"/>
      </c>
      <c r="E45" s="161">
        <f t="shared" si="3"/>
      </c>
      <c r="F45" s="161">
        <f t="shared" si="4"/>
      </c>
      <c r="G45" s="163">
        <f t="shared" si="15"/>
      </c>
      <c r="H45" s="158">
        <f t="shared" si="13"/>
      </c>
      <c r="I45" s="161">
        <f t="shared" si="0"/>
      </c>
      <c r="J45" s="161">
        <f t="shared" si="1"/>
      </c>
      <c r="K45" s="162">
        <f t="shared" si="14"/>
      </c>
    </row>
    <row r="46" spans="2:11" ht="15">
      <c r="B46" s="97" t="s">
        <v>300</v>
      </c>
      <c r="C46" s="98" t="s">
        <v>894</v>
      </c>
      <c r="D46" s="158">
        <f t="shared" si="12"/>
      </c>
      <c r="E46" s="161">
        <f t="shared" si="3"/>
      </c>
      <c r="F46" s="161">
        <f t="shared" si="4"/>
      </c>
      <c r="G46" s="163">
        <f t="shared" si="15"/>
      </c>
      <c r="H46" s="158">
        <f t="shared" si="13"/>
      </c>
      <c r="I46" s="161">
        <f t="shared" si="0"/>
      </c>
      <c r="J46" s="161">
        <f t="shared" si="1"/>
      </c>
      <c r="K46" s="162">
        <f t="shared" si="14"/>
      </c>
    </row>
    <row r="47" spans="2:11" ht="15">
      <c r="B47" s="97" t="s">
        <v>296</v>
      </c>
      <c r="C47" s="98" t="s">
        <v>893</v>
      </c>
      <c r="D47" s="158">
        <f t="shared" si="12"/>
      </c>
      <c r="E47" s="161">
        <f t="shared" si="3"/>
      </c>
      <c r="F47" s="161">
        <f t="shared" si="4"/>
      </c>
      <c r="G47" s="163">
        <f t="shared" si="15"/>
      </c>
      <c r="H47" s="158">
        <f t="shared" si="13"/>
      </c>
      <c r="I47" s="161">
        <f t="shared" si="0"/>
      </c>
      <c r="J47" s="161">
        <f t="shared" si="1"/>
      </c>
      <c r="K47" s="162">
        <f t="shared" si="14"/>
      </c>
    </row>
    <row r="48" spans="2:11" ht="15">
      <c r="B48" s="97" t="s">
        <v>310</v>
      </c>
      <c r="C48" s="98" t="s">
        <v>895</v>
      </c>
      <c r="D48" s="158">
        <f t="shared" si="12"/>
      </c>
      <c r="E48" s="161">
        <f t="shared" si="3"/>
      </c>
      <c r="F48" s="161">
        <f t="shared" si="4"/>
      </c>
      <c r="G48" s="163">
        <f t="shared" si="15"/>
      </c>
      <c r="H48" s="158">
        <f t="shared" si="13"/>
      </c>
      <c r="I48" s="161">
        <f t="shared" si="0"/>
      </c>
      <c r="J48" s="161">
        <f t="shared" si="1"/>
      </c>
      <c r="K48" s="162">
        <f t="shared" si="14"/>
      </c>
    </row>
    <row r="49" spans="2:11" ht="15">
      <c r="B49" s="97"/>
      <c r="C49" s="101"/>
      <c r="D49" s="158">
        <f t="shared" si="12"/>
      </c>
      <c r="E49" s="161">
        <f t="shared" si="3"/>
      </c>
      <c r="F49" s="161">
        <f t="shared" si="4"/>
      </c>
      <c r="G49" s="163">
        <f t="shared" si="15"/>
      </c>
      <c r="H49" s="158">
        <f t="shared" si="13"/>
      </c>
      <c r="I49" s="161">
        <f t="shared" si="0"/>
      </c>
      <c r="J49" s="161">
        <f t="shared" si="1"/>
      </c>
      <c r="K49" s="162">
        <f t="shared" si="14"/>
      </c>
    </row>
    <row r="50" spans="2:11" ht="15">
      <c r="B50" s="97"/>
      <c r="C50" s="101"/>
      <c r="D50" s="158">
        <f t="shared" si="12"/>
      </c>
      <c r="E50" s="161">
        <f t="shared" si="3"/>
      </c>
      <c r="F50" s="161">
        <f t="shared" si="4"/>
      </c>
      <c r="G50" s="163">
        <f t="shared" si="15"/>
      </c>
      <c r="H50" s="158">
        <f t="shared" si="13"/>
      </c>
      <c r="I50" s="161">
        <f t="shared" si="0"/>
      </c>
      <c r="J50" s="161">
        <f t="shared" si="1"/>
      </c>
      <c r="K50" s="162">
        <f t="shared" si="14"/>
      </c>
    </row>
    <row r="51" spans="2:11" ht="15">
      <c r="B51" s="97"/>
      <c r="C51" s="101"/>
      <c r="D51" s="158">
        <f t="shared" si="12"/>
      </c>
      <c r="E51" s="161">
        <f t="shared" si="3"/>
      </c>
      <c r="F51" s="161">
        <f t="shared" si="4"/>
      </c>
      <c r="G51" s="163">
        <f t="shared" si="15"/>
      </c>
      <c r="H51" s="158">
        <f t="shared" si="13"/>
      </c>
      <c r="I51" s="161">
        <f t="shared" si="0"/>
      </c>
      <c r="J51" s="161">
        <f t="shared" si="1"/>
      </c>
      <c r="K51" s="162">
        <f t="shared" si="14"/>
      </c>
    </row>
    <row r="52" spans="2:11" ht="15.75" thickBot="1">
      <c r="B52" s="103"/>
      <c r="C52" s="104"/>
      <c r="D52" s="164">
        <f t="shared" si="12"/>
      </c>
      <c r="E52" s="165">
        <f t="shared" si="3"/>
      </c>
      <c r="F52" s="165">
        <f t="shared" si="4"/>
      </c>
      <c r="G52" s="166">
        <f t="shared" si="15"/>
      </c>
      <c r="H52" s="164">
        <f t="shared" si="13"/>
      </c>
      <c r="I52" s="165">
        <f t="shared" si="0"/>
      </c>
      <c r="J52" s="165">
        <f t="shared" si="1"/>
      </c>
      <c r="K52" s="167">
        <f t="shared" si="14"/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portrait" pageOrder="overThenDown" scale="88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S53"/>
  <sheetViews>
    <sheetView showGridLines="0" showRowColHeaders="0" zoomScale="75" zoomScaleNormal="75" zoomScalePageLayoutView="0" workbookViewId="0" topLeftCell="A1">
      <selection activeCell="C5" sqref="C5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2" width="5.77734375" style="96" customWidth="1"/>
    <col min="13" max="14" width="8.77734375" style="96" customWidth="1"/>
    <col min="15" max="15" width="10.77734375" style="96" customWidth="1"/>
    <col min="16" max="16" width="5.77734375" style="96" customWidth="1"/>
    <col min="17" max="18" width="8.77734375" style="96" customWidth="1"/>
    <col min="19" max="19" width="10.77734375" style="96" customWidth="1"/>
    <col min="20" max="16384" width="9.77734375" style="96" customWidth="1"/>
  </cols>
  <sheetData>
    <row r="1" spans="2:19" ht="26.25">
      <c r="B1" s="93" t="s">
        <v>885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5"/>
    </row>
    <row r="2" spans="2:19" ht="22.5" customHeight="1">
      <c r="B2" s="94"/>
      <c r="C2" s="51"/>
      <c r="D2" s="128" t="s">
        <v>265</v>
      </c>
      <c r="E2" s="129" t="s">
        <v>266</v>
      </c>
      <c r="F2" s="129" t="s">
        <v>267</v>
      </c>
      <c r="G2" s="130" t="s">
        <v>90</v>
      </c>
      <c r="H2" s="128" t="s">
        <v>265</v>
      </c>
      <c r="I2" s="129" t="s">
        <v>266</v>
      </c>
      <c r="J2" s="129" t="s">
        <v>267</v>
      </c>
      <c r="K2" s="130" t="s">
        <v>90</v>
      </c>
      <c r="L2" s="128" t="s">
        <v>265</v>
      </c>
      <c r="M2" s="129" t="s">
        <v>266</v>
      </c>
      <c r="N2" s="129" t="s">
        <v>267</v>
      </c>
      <c r="O2" s="130" t="s">
        <v>90</v>
      </c>
      <c r="P2" s="128" t="s">
        <v>265</v>
      </c>
      <c r="Q2" s="129" t="s">
        <v>266</v>
      </c>
      <c r="R2" s="129" t="s">
        <v>267</v>
      </c>
      <c r="S2" s="131" t="s">
        <v>90</v>
      </c>
    </row>
    <row r="3" spans="2:19" ht="15" customHeight="1">
      <c r="B3" s="107" t="s">
        <v>889</v>
      </c>
      <c r="C3" s="125"/>
      <c r="D3" s="158">
        <f>IF(C9="","",1)</f>
      </c>
      <c r="E3" s="159">
        <f>IF(D3="","",ROUND((C5)/$C$20,0)*$C$20)</f>
      </c>
      <c r="F3" s="159">
        <f>IF(D3="","",ROUND((C6)/$C$20,0)*$C$20)</f>
      </c>
      <c r="G3" s="160">
        <f>IF(D3="","",0)</f>
      </c>
      <c r="H3" s="158">
        <f>IF(D53="","",IF(D53&gt;=ABS((360*$C$17)/$C$9)+1,"",D53+1))</f>
      </c>
      <c r="I3" s="161">
        <f>IF(H3="","",(ROUND((((COS(K3/180*PI())*$C$5)+(SIN(K3/180*PI())*$C$6)))*(1+(((SUM($C$13,($C$12*$C$24)))/(360/ABS(K3)))/(SQRT(($C$6*$C$6)+($C$5*$C$5)))))/$C$20,0)*$C$20))</f>
      </c>
      <c r="J3" s="161">
        <f>IF(H3="","",(ROUND((((COS(K3/180*PI())*$C$6)-(SIN(K3/180*PI())*$C$5)))*(1+(((SUM($C$13,($C$12*$C$24)))/(360/ABS(K3)))/(SQRT(($C$6*$C$6)+($C$5*$C$5)))))/$C$20,0)*$C$20))</f>
      </c>
      <c r="K3" s="162">
        <f>IF(H3="","",G53+$G$4)</f>
      </c>
      <c r="L3" s="158">
        <f>IF(H53="","",IF(H53&gt;=ABS((360*$C$17)/$C$9)+1,"",H53+1))</f>
      </c>
      <c r="M3" s="161">
        <f>IF(L3="","",(ROUND((((COS(O3/180*PI())*$C$5)+(SIN(O3/180*PI())*$C$6)))*(1+(((SUM($C$13,($C$12*$C$24)))/(360/ABS(O3)))/(SQRT(($C$6*$C$6)+($C$5*$C$5)))))/$C$20,0)*$C$20))</f>
      </c>
      <c r="N3" s="161">
        <f>IF(L3="","",(ROUND((((COS(O3/180*PI())*$C$6)-(SIN(O3/180*PI())*$C$5)))*(1+(((SUM($C$13,($C$12*$C$24)))/(360/ABS(O3)))/(SQRT(($C$6*$C$6)+($C$5*$C$5)))))/$C$20,0)*$C$20))</f>
      </c>
      <c r="O3" s="162">
        <f>IF(L3="","",K53+$G$4)</f>
      </c>
      <c r="P3" s="158">
        <f>IF(L53="","",IF(L53&gt;=ABS((360*$C$17)/$C$9)+1,"",L53+1))</f>
      </c>
      <c r="Q3" s="161">
        <f>IF(P3="","",(ROUND((((COS(S3/180*PI())*$C$5)+(SIN(S3/180*PI())*$C$6)))*(1+(((SUM($C$13,($C$12*$C$24)))/(360/ABS(S3)))/(SQRT(($C$6*$C$6)+($C$5*$C$5)))))/$C$20,0)*$C$20))</f>
      </c>
      <c r="R3" s="161">
        <f>IF(P3="","",(ROUND((((COS(S3/180*PI())*$C$6)-(SIN(S3/180*PI())*$C$5)))*(1+(((SUM($C$13,($C$12*$C$24)))/(360/ABS(S3)))/(SQRT(($C$6*$C$6)+($C$5*$C$5)))))/$C$20,0)*$C$20))</f>
      </c>
      <c r="S3" s="162">
        <f>IF(P3="","",O53+$G$4)</f>
      </c>
    </row>
    <row r="4" spans="2:19" ht="15.75">
      <c r="B4" s="124" t="s">
        <v>890</v>
      </c>
      <c r="C4" s="125"/>
      <c r="D4" s="158">
        <f>IF(D3="","",IF(D3&gt;=ABS((360*$C$17)/$C$9)+1,"",D3+1))</f>
      </c>
      <c r="E4" s="161">
        <f>IF(D4="","",(ROUND((((COS(G4/180*PI())*($C$5))+(SIN(G4/180*PI())*$C$6)))*(1+(((SUM($C$13,($C$12*$C$24)))/(360/ABS(G4)))/(SQRT(($C$6*$C$6)+($C$5*$C$5)))))/$C$20,0)*$C$20))</f>
      </c>
      <c r="F4" s="161">
        <f>IF(D4="","",(ROUND((((COS(G4/180*PI())*($C$6))-(SIN(G4/180*PI())*$C$5)))*(1+(((SUM($C$13,($C$12*$C$24)))/(360/ABS(G4)))/(SQRT(($C$6*$C$6)+($C$5*$C$5)))))/$C$20,0)*$C$20))</f>
      </c>
      <c r="G4" s="163">
        <f>IF(D4="","",C9)</f>
      </c>
      <c r="H4" s="158">
        <f>IF(H3="","",IF(H3&gt;=ABS((360*$C$17)/$C$9)+1,"",H3+1))</f>
      </c>
      <c r="I4" s="161">
        <f>IF(H4="","",(ROUND((((COS(K4/180*PI())*$C$5)+(SIN(K4/180*PI())*$C$6)))*(1+(((SUM($C$13,($C$12*$C$24)))/(360/ABS(K4)))/(SQRT(($C$6*$C$6)+($C$5*$C$5)))))/$C$20,0)*$C$20))</f>
      </c>
      <c r="J4" s="161">
        <f>IF(H4="","",(ROUND((((COS(K4/180*PI())*$C$6)-(SIN(K4/180*PI())*$C$5)))*(1+(((SUM($C$13,($C$12*$C$24)))/(360/ABS(K4)))/(SQRT(($C$6*$C$6)+($C$5*$C$5)))))/$C$20,0)*$C$20))</f>
      </c>
      <c r="K4" s="162">
        <f aca="true" t="shared" si="0" ref="K4:K35">IF(H4="","",K3+$G$4)</f>
      </c>
      <c r="L4" s="158">
        <f>IF(L3="","",IF(L3&gt;=ABS((360*$C$17)/$C$9)+1,"",L3+1))</f>
      </c>
      <c r="M4" s="161">
        <f>IF(L4="","",(ROUND((((COS(O4/180*PI())*$C$5)+(SIN(O4/180*PI())*$C$6)))*(1+(((SUM($C$13,($C$12*$C$24)))/(360/ABS(O4)))/(SQRT(($C$6*$C$6)+($C$5*$C$5)))))/$C$20,0)*$C$20))</f>
      </c>
      <c r="N4" s="161">
        <f>IF(L4="","",(ROUND((((COS(O4/180*PI())*$C$6)-(SIN(O4/180*PI())*$C$5)))*(1+(((SUM($C$13,($C$12*$C$24)))/(360/ABS(O4)))/(SQRT(($C$6*$C$6)+($C$5*$C$5)))))/$C$20,0)*$C$20))</f>
      </c>
      <c r="O4" s="162">
        <f aca="true" t="shared" si="1" ref="O4:O52">IF(L4="","",O3+$G$4)</f>
      </c>
      <c r="P4" s="158">
        <f>IF(P3="","",IF(P3&gt;=ABS((360*$C$17)/$C$9)+1,"",P3+1))</f>
      </c>
      <c r="Q4" s="161">
        <f>IF(P4="","",(ROUND((((COS(S4/180*PI())*$C$5)+(SIN(S4/180*PI())*$C$6)))*(1+(((SUM($C$13,($C$12*$C$24)))/(360/ABS(S4)))/(SQRT(($C$6*$C$6)+($C$5*$C$5)))))/$C$20,0)*$C$20))</f>
      </c>
      <c r="R4" s="161">
        <f>IF(P4="","",(ROUND((((COS(S4/180*PI())*$C$6)-(SIN(S4/180*PI())*$C$5)))*(1+(((SUM($C$13,($C$12*$C$24)))/(360/ABS(S4)))/(SQRT(($C$6*$C$6)+($C$5*$C$5)))))/$C$20,0)*$C$20))</f>
      </c>
      <c r="S4" s="162">
        <f aca="true" t="shared" si="2" ref="S4:S52">IF(P4="","",S3+$G$4)</f>
      </c>
    </row>
    <row r="5" spans="2:19" ht="15">
      <c r="B5" s="97" t="s">
        <v>270</v>
      </c>
      <c r="C5" s="156"/>
      <c r="D5" s="158">
        <f aca="true" t="shared" si="3" ref="D5:D53">IF(D4="","",IF(D4&gt;=ABS((360*$C$17)/$C$9)+1,"",D4+1))</f>
      </c>
      <c r="E5" s="161">
        <f>IF(D5="","",(ROUND((((COS(G5/180*PI())*($C$5))+(SIN(G5/180*PI())*$C$6)))*(1+(((SUM($C$13,($C$12*$C$24)))/(360/ABS(G5)))/(SQRT(($C$6*$C$6)+($C$5*$C$5)))))/$C$20,0)*$C$20))</f>
      </c>
      <c r="F5" s="161">
        <f>IF(D5="","",(ROUND((((COS(G5/180*PI())*($C$6))-(SIN(G5/180*PI())*$C$5)))*(1+(((SUM($C$13,($C$12*$C$24)))/(360/ABS(G5)))/(SQRT(($C$6*$C$6)+($C$5*$C$5)))))/$C$20,0)*$C$20))</f>
      </c>
      <c r="G5" s="163">
        <f>IF(D5="","",G4*2)</f>
      </c>
      <c r="H5" s="158">
        <f aca="true" t="shared" si="4" ref="H5:H53">IF(H4="","",IF(H4&gt;=ABS((360*$C$17)/$C$9)+1,"",H4+1))</f>
      </c>
      <c r="I5" s="161">
        <f aca="true" t="shared" si="5" ref="I5:I53">IF(H5="","",(ROUND((((COS(K5/180*PI())*$C$5)+(SIN(K5/180*PI())*$C$6)))*(1+(((SUM($C$13,($C$12*$C$24)))/(360/ABS(K5)))/(SQRT(($C$6*$C$6)+($C$5*$C$5)))))/$C$20,0)*$C$20))</f>
      </c>
      <c r="J5" s="161">
        <f aca="true" t="shared" si="6" ref="J5:J53">IF(H5="","",(ROUND((((COS(K5/180*PI())*$C$6)-(SIN(K5/180*PI())*$C$5)))*(1+(((SUM($C$13,($C$12*$C$24)))/(360/ABS(K5)))/(SQRT(($C$6*$C$6)+($C$5*$C$5)))))/$C$20,0)*$C$20))</f>
      </c>
      <c r="K5" s="162">
        <f t="shared" si="0"/>
      </c>
      <c r="L5" s="158">
        <f aca="true" t="shared" si="7" ref="L5:L53">IF(L4="","",IF(L4&gt;=ABS((360*$C$17)/$C$9)+1,"",L4+1))</f>
      </c>
      <c r="M5" s="161">
        <f aca="true" t="shared" si="8" ref="M5:M53">IF(L5="","",(ROUND((((COS(O5/180*PI())*$C$5)+(SIN(O5/180*PI())*$C$6)))*(1+(((SUM($C$13,($C$12*$C$24)))/(360/ABS(O5)))/(SQRT(($C$6*$C$6)+($C$5*$C$5)))))/$C$20,0)*$C$20))</f>
      </c>
      <c r="N5" s="161">
        <f aca="true" t="shared" si="9" ref="N5:N53">IF(L5="","",(ROUND((((COS(O5/180*PI())*$C$6)-(SIN(O5/180*PI())*$C$5)))*(1+(((SUM($C$13,($C$12*$C$24)))/(360/ABS(O5)))/(SQRT(($C$6*$C$6)+($C$5*$C$5)))))/$C$20,0)*$C$20))</f>
      </c>
      <c r="O5" s="162">
        <f t="shared" si="1"/>
      </c>
      <c r="P5" s="158">
        <f aca="true" t="shared" si="10" ref="P5:P53">IF(P4="","",IF(P4&gt;=ABS((360*$C$17)/$C$9)+1,"",P4+1))</f>
      </c>
      <c r="Q5" s="161">
        <f aca="true" t="shared" si="11" ref="Q5:Q53">IF(P5="","",(ROUND((((COS(S5/180*PI())*$C$5)+(SIN(S5/180*PI())*$C$6)))*(1+(((SUM($C$13,($C$12*$C$24)))/(360/ABS(S5)))/(SQRT(($C$6*$C$6)+($C$5*$C$5)))))/$C$20,0)*$C$20))</f>
      </c>
      <c r="R5" s="161">
        <f aca="true" t="shared" si="12" ref="R5:R53">IF(P5="","",(ROUND((((COS(S5/180*PI())*$C$6)-(SIN(S5/180*PI())*$C$5)))*(1+(((SUM($C$13,($C$12*$C$24)))/(360/ABS(S5)))/(SQRT(($C$6*$C$6)+($C$5*$C$5)))))/$C$20,0)*$C$20))</f>
      </c>
      <c r="S5" s="162">
        <f t="shared" si="2"/>
      </c>
    </row>
    <row r="6" spans="2:19" ht="15">
      <c r="B6" s="97" t="s">
        <v>271</v>
      </c>
      <c r="C6" s="156"/>
      <c r="D6" s="158">
        <f t="shared" si="3"/>
      </c>
      <c r="E6" s="161">
        <f aca="true" t="shared" si="13" ref="E6:E53">IF(D6="","",(ROUND((((COS(G6/180*PI())*($C$5))+(SIN(G6/180*PI())*$C$6)))*(1+(((SUM($C$13,($C$12*$C$24)))/(360/ABS(G6)))/(SQRT(($C$6*$C$6)+($C$5*$C$5)))))/$C$20,0)*$C$20))</f>
      </c>
      <c r="F6" s="161">
        <f aca="true" t="shared" si="14" ref="F6:F53">IF(D6="","",(ROUND((((COS(G6/180*PI())*($C$6))-(SIN(G6/180*PI())*$C$5)))*(1+(((SUM($C$13,($C$12*$C$24)))/(360/ABS(G6)))/(SQRT(($C$6*$C$6)+($C$5*$C$5)))))/$C$20,0)*$C$20))</f>
      </c>
      <c r="G6" s="163">
        <f aca="true" t="shared" si="15" ref="G6:G52">IF(D6="","",G5+$G$4)</f>
      </c>
      <c r="H6" s="158">
        <f t="shared" si="4"/>
      </c>
      <c r="I6" s="161">
        <f t="shared" si="5"/>
      </c>
      <c r="J6" s="161">
        <f t="shared" si="6"/>
      </c>
      <c r="K6" s="162">
        <f t="shared" si="0"/>
      </c>
      <c r="L6" s="158">
        <f t="shared" si="7"/>
      </c>
      <c r="M6" s="161">
        <f t="shared" si="8"/>
      </c>
      <c r="N6" s="161">
        <f t="shared" si="9"/>
      </c>
      <c r="O6" s="162">
        <f t="shared" si="1"/>
      </c>
      <c r="P6" s="158">
        <f t="shared" si="10"/>
      </c>
      <c r="Q6" s="161">
        <f t="shared" si="11"/>
      </c>
      <c r="R6" s="161">
        <f t="shared" si="12"/>
      </c>
      <c r="S6" s="162">
        <f t="shared" si="2"/>
      </c>
    </row>
    <row r="7" spans="2:19" ht="15">
      <c r="B7" s="97"/>
      <c r="C7" s="101"/>
      <c r="D7" s="158">
        <f t="shared" si="3"/>
      </c>
      <c r="E7" s="161">
        <f t="shared" si="13"/>
      </c>
      <c r="F7" s="161">
        <f t="shared" si="14"/>
      </c>
      <c r="G7" s="163">
        <f t="shared" si="15"/>
      </c>
      <c r="H7" s="158">
        <f t="shared" si="4"/>
      </c>
      <c r="I7" s="161">
        <f t="shared" si="5"/>
      </c>
      <c r="J7" s="161">
        <f t="shared" si="6"/>
      </c>
      <c r="K7" s="162">
        <f t="shared" si="0"/>
      </c>
      <c r="L7" s="158">
        <f t="shared" si="7"/>
      </c>
      <c r="M7" s="161">
        <f t="shared" si="8"/>
      </c>
      <c r="N7" s="161">
        <f t="shared" si="9"/>
      </c>
      <c r="O7" s="162">
        <f t="shared" si="1"/>
      </c>
      <c r="P7" s="158">
        <f t="shared" si="10"/>
      </c>
      <c r="Q7" s="161">
        <f t="shared" si="11"/>
      </c>
      <c r="R7" s="161">
        <f t="shared" si="12"/>
      </c>
      <c r="S7" s="162">
        <f t="shared" si="2"/>
      </c>
    </row>
    <row r="8" spans="2:19" ht="15.75">
      <c r="B8" s="442" t="s">
        <v>891</v>
      </c>
      <c r="C8" s="450"/>
      <c r="D8" s="158">
        <f t="shared" si="3"/>
      </c>
      <c r="E8" s="161">
        <f t="shared" si="13"/>
      </c>
      <c r="F8" s="161">
        <f t="shared" si="14"/>
      </c>
      <c r="G8" s="163">
        <f t="shared" si="15"/>
      </c>
      <c r="H8" s="158">
        <f t="shared" si="4"/>
      </c>
      <c r="I8" s="161">
        <f t="shared" si="5"/>
      </c>
      <c r="J8" s="161">
        <f t="shared" si="6"/>
      </c>
      <c r="K8" s="162">
        <f t="shared" si="0"/>
      </c>
      <c r="L8" s="158">
        <f t="shared" si="7"/>
      </c>
      <c r="M8" s="161">
        <f t="shared" si="8"/>
      </c>
      <c r="N8" s="161">
        <f t="shared" si="9"/>
      </c>
      <c r="O8" s="162">
        <f t="shared" si="1"/>
      </c>
      <c r="P8" s="158">
        <f t="shared" si="10"/>
      </c>
      <c r="Q8" s="161">
        <f t="shared" si="11"/>
      </c>
      <c r="R8" s="161">
        <f t="shared" si="12"/>
      </c>
      <c r="S8" s="162">
        <f t="shared" si="2"/>
      </c>
    </row>
    <row r="9" spans="2:19" ht="15">
      <c r="B9" s="97" t="s">
        <v>886</v>
      </c>
      <c r="C9" s="446"/>
      <c r="D9" s="158">
        <f t="shared" si="3"/>
      </c>
      <c r="E9" s="161">
        <f t="shared" si="13"/>
      </c>
      <c r="F9" s="161">
        <f t="shared" si="14"/>
      </c>
      <c r="G9" s="163">
        <f t="shared" si="15"/>
      </c>
      <c r="H9" s="158">
        <f t="shared" si="4"/>
      </c>
      <c r="I9" s="161">
        <f t="shared" si="5"/>
      </c>
      <c r="J9" s="161">
        <f t="shared" si="6"/>
      </c>
      <c r="K9" s="162">
        <f t="shared" si="0"/>
      </c>
      <c r="L9" s="158">
        <f t="shared" si="7"/>
      </c>
      <c r="M9" s="161">
        <f t="shared" si="8"/>
      </c>
      <c r="N9" s="161">
        <f t="shared" si="9"/>
      </c>
      <c r="O9" s="162">
        <f t="shared" si="1"/>
      </c>
      <c r="P9" s="158">
        <f t="shared" si="10"/>
      </c>
      <c r="Q9" s="161">
        <f t="shared" si="11"/>
      </c>
      <c r="R9" s="161">
        <f t="shared" si="12"/>
      </c>
      <c r="S9" s="162">
        <f t="shared" si="2"/>
      </c>
    </row>
    <row r="10" spans="2:19" ht="15">
      <c r="B10" s="99"/>
      <c r="C10" s="98"/>
      <c r="D10" s="158">
        <f t="shared" si="3"/>
      </c>
      <c r="E10" s="161">
        <f t="shared" si="13"/>
      </c>
      <c r="F10" s="161">
        <f t="shared" si="14"/>
      </c>
      <c r="G10" s="163">
        <f t="shared" si="15"/>
      </c>
      <c r="H10" s="158">
        <f t="shared" si="4"/>
      </c>
      <c r="I10" s="161">
        <f t="shared" si="5"/>
      </c>
      <c r="J10" s="161">
        <f t="shared" si="6"/>
      </c>
      <c r="K10" s="162">
        <f t="shared" si="0"/>
      </c>
      <c r="L10" s="158">
        <f t="shared" si="7"/>
      </c>
      <c r="M10" s="161">
        <f t="shared" si="8"/>
      </c>
      <c r="N10" s="161">
        <f t="shared" si="9"/>
      </c>
      <c r="O10" s="162">
        <f t="shared" si="1"/>
      </c>
      <c r="P10" s="158">
        <f t="shared" si="10"/>
      </c>
      <c r="Q10" s="161">
        <f t="shared" si="11"/>
      </c>
      <c r="R10" s="161">
        <f t="shared" si="12"/>
      </c>
      <c r="S10" s="162">
        <f t="shared" si="2"/>
      </c>
    </row>
    <row r="11" spans="2:19" ht="15.75">
      <c r="B11" s="124" t="s">
        <v>882</v>
      </c>
      <c r="C11" s="105"/>
      <c r="D11" s="158">
        <f t="shared" si="3"/>
      </c>
      <c r="E11" s="161">
        <f t="shared" si="13"/>
      </c>
      <c r="F11" s="161">
        <f t="shared" si="14"/>
      </c>
      <c r="G11" s="163">
        <f t="shared" si="15"/>
      </c>
      <c r="H11" s="158">
        <f t="shared" si="4"/>
      </c>
      <c r="I11" s="161">
        <f t="shared" si="5"/>
      </c>
      <c r="J11" s="161">
        <f t="shared" si="6"/>
      </c>
      <c r="K11" s="162">
        <f t="shared" si="0"/>
      </c>
      <c r="L11" s="158">
        <f t="shared" si="7"/>
      </c>
      <c r="M11" s="161">
        <f t="shared" si="8"/>
      </c>
      <c r="N11" s="161">
        <f t="shared" si="9"/>
      </c>
      <c r="O11" s="162">
        <f t="shared" si="1"/>
      </c>
      <c r="P11" s="158">
        <f t="shared" si="10"/>
      </c>
      <c r="Q11" s="161">
        <f t="shared" si="11"/>
      </c>
      <c r="R11" s="161">
        <f t="shared" si="12"/>
      </c>
      <c r="S11" s="162">
        <f t="shared" si="2"/>
      </c>
    </row>
    <row r="12" spans="2:19" ht="15">
      <c r="B12" s="443" t="s">
        <v>888</v>
      </c>
      <c r="C12" s="444"/>
      <c r="D12" s="158">
        <f t="shared" si="3"/>
      </c>
      <c r="E12" s="161">
        <f t="shared" si="13"/>
      </c>
      <c r="F12" s="161">
        <f t="shared" si="14"/>
      </c>
      <c r="G12" s="163">
        <f t="shared" si="15"/>
      </c>
      <c r="H12" s="158">
        <f t="shared" si="4"/>
      </c>
      <c r="I12" s="161">
        <f t="shared" si="5"/>
      </c>
      <c r="J12" s="161">
        <f t="shared" si="6"/>
      </c>
      <c r="K12" s="162">
        <f t="shared" si="0"/>
      </c>
      <c r="L12" s="158">
        <f t="shared" si="7"/>
      </c>
      <c r="M12" s="161">
        <f t="shared" si="8"/>
      </c>
      <c r="N12" s="161">
        <f t="shared" si="9"/>
      </c>
      <c r="O12" s="162">
        <f t="shared" si="1"/>
      </c>
      <c r="P12" s="158">
        <f t="shared" si="10"/>
      </c>
      <c r="Q12" s="161">
        <f t="shared" si="11"/>
      </c>
      <c r="R12" s="161">
        <f t="shared" si="12"/>
      </c>
      <c r="S12" s="162">
        <f t="shared" si="2"/>
      </c>
    </row>
    <row r="13" spans="2:19" ht="15">
      <c r="B13" s="443" t="s">
        <v>887</v>
      </c>
      <c r="C13" s="444"/>
      <c r="D13" s="158">
        <f t="shared" si="3"/>
      </c>
      <c r="E13" s="161">
        <f t="shared" si="13"/>
      </c>
      <c r="F13" s="161">
        <f t="shared" si="14"/>
      </c>
      <c r="G13" s="163">
        <f t="shared" si="15"/>
      </c>
      <c r="H13" s="158">
        <f t="shared" si="4"/>
      </c>
      <c r="I13" s="161">
        <f t="shared" si="5"/>
      </c>
      <c r="J13" s="161">
        <f t="shared" si="6"/>
      </c>
      <c r="K13" s="162">
        <f t="shared" si="0"/>
      </c>
      <c r="L13" s="158">
        <f t="shared" si="7"/>
      </c>
      <c r="M13" s="161">
        <f t="shared" si="8"/>
      </c>
      <c r="N13" s="161">
        <f t="shared" si="9"/>
      </c>
      <c r="O13" s="162">
        <f t="shared" si="1"/>
      </c>
      <c r="P13" s="158">
        <f t="shared" si="10"/>
      </c>
      <c r="Q13" s="161">
        <f t="shared" si="11"/>
      </c>
      <c r="R13" s="161">
        <f t="shared" si="12"/>
      </c>
      <c r="S13" s="162">
        <f t="shared" si="2"/>
      </c>
    </row>
    <row r="14" spans="2:19" ht="15">
      <c r="B14" s="97"/>
      <c r="C14" s="101"/>
      <c r="D14" s="158">
        <f t="shared" si="3"/>
      </c>
      <c r="E14" s="161">
        <f t="shared" si="13"/>
      </c>
      <c r="F14" s="161">
        <f t="shared" si="14"/>
      </c>
      <c r="G14" s="163">
        <f t="shared" si="15"/>
      </c>
      <c r="H14" s="158">
        <f t="shared" si="4"/>
      </c>
      <c r="I14" s="161">
        <f t="shared" si="5"/>
      </c>
      <c r="J14" s="161">
        <f t="shared" si="6"/>
      </c>
      <c r="K14" s="162">
        <f t="shared" si="0"/>
      </c>
      <c r="L14" s="158">
        <f t="shared" si="7"/>
      </c>
      <c r="M14" s="161">
        <f t="shared" si="8"/>
      </c>
      <c r="N14" s="161">
        <f t="shared" si="9"/>
      </c>
      <c r="O14" s="162">
        <f t="shared" si="1"/>
      </c>
      <c r="P14" s="158">
        <f t="shared" si="10"/>
      </c>
      <c r="Q14" s="161">
        <f t="shared" si="11"/>
      </c>
      <c r="R14" s="161">
        <f t="shared" si="12"/>
      </c>
      <c r="S14" s="162">
        <f t="shared" si="2"/>
      </c>
    </row>
    <row r="15" spans="2:19" ht="15.75">
      <c r="B15" s="451" t="s">
        <v>883</v>
      </c>
      <c r="C15" s="102"/>
      <c r="D15" s="158">
        <f t="shared" si="3"/>
      </c>
      <c r="E15" s="161">
        <f t="shared" si="13"/>
      </c>
      <c r="F15" s="161">
        <f t="shared" si="14"/>
      </c>
      <c r="G15" s="163">
        <f t="shared" si="15"/>
      </c>
      <c r="H15" s="158">
        <f t="shared" si="4"/>
      </c>
      <c r="I15" s="161">
        <f t="shared" si="5"/>
      </c>
      <c r="J15" s="161">
        <f t="shared" si="6"/>
      </c>
      <c r="K15" s="162">
        <f t="shared" si="0"/>
      </c>
      <c r="L15" s="158">
        <f t="shared" si="7"/>
      </c>
      <c r="M15" s="161">
        <f t="shared" si="8"/>
      </c>
      <c r="N15" s="161">
        <f t="shared" si="9"/>
      </c>
      <c r="O15" s="162">
        <f t="shared" si="1"/>
      </c>
      <c r="P15" s="158">
        <f t="shared" si="10"/>
      </c>
      <c r="Q15" s="161">
        <f t="shared" si="11"/>
      </c>
      <c r="R15" s="161">
        <f t="shared" si="12"/>
      </c>
      <c r="S15" s="162">
        <f t="shared" si="2"/>
      </c>
    </row>
    <row r="16" spans="2:19" ht="15.75">
      <c r="B16" s="442" t="s">
        <v>884</v>
      </c>
      <c r="C16" s="102"/>
      <c r="D16" s="158">
        <f t="shared" si="3"/>
      </c>
      <c r="E16" s="161">
        <f t="shared" si="13"/>
      </c>
      <c r="F16" s="161">
        <f t="shared" si="14"/>
      </c>
      <c r="G16" s="163">
        <f t="shared" si="15"/>
      </c>
      <c r="H16" s="158">
        <f t="shared" si="4"/>
      </c>
      <c r="I16" s="161">
        <f t="shared" si="5"/>
      </c>
      <c r="J16" s="161">
        <f t="shared" si="6"/>
      </c>
      <c r="K16" s="162">
        <f t="shared" si="0"/>
      </c>
      <c r="L16" s="158">
        <f t="shared" si="7"/>
      </c>
      <c r="M16" s="161">
        <f t="shared" si="8"/>
      </c>
      <c r="N16" s="161">
        <f t="shared" si="9"/>
      </c>
      <c r="O16" s="162">
        <f t="shared" si="1"/>
      </c>
      <c r="P16" s="158">
        <f t="shared" si="10"/>
      </c>
      <c r="Q16" s="161">
        <f t="shared" si="11"/>
      </c>
      <c r="R16" s="161">
        <f t="shared" si="12"/>
      </c>
      <c r="S16" s="162">
        <f t="shared" si="2"/>
      </c>
    </row>
    <row r="17" spans="2:19" ht="15">
      <c r="B17" s="97" t="s">
        <v>892</v>
      </c>
      <c r="C17" s="445"/>
      <c r="D17" s="158">
        <f t="shared" si="3"/>
      </c>
      <c r="E17" s="161">
        <f t="shared" si="13"/>
      </c>
      <c r="F17" s="161">
        <f t="shared" si="14"/>
      </c>
      <c r="G17" s="163">
        <f t="shared" si="15"/>
      </c>
      <c r="H17" s="158">
        <f t="shared" si="4"/>
      </c>
      <c r="I17" s="161">
        <f t="shared" si="5"/>
      </c>
      <c r="J17" s="161">
        <f t="shared" si="6"/>
      </c>
      <c r="K17" s="162">
        <f t="shared" si="0"/>
      </c>
      <c r="L17" s="158">
        <f t="shared" si="7"/>
      </c>
      <c r="M17" s="161">
        <f t="shared" si="8"/>
      </c>
      <c r="N17" s="161">
        <f t="shared" si="9"/>
      </c>
      <c r="O17" s="162">
        <f t="shared" si="1"/>
      </c>
      <c r="P17" s="158">
        <f t="shared" si="10"/>
      </c>
      <c r="Q17" s="161">
        <f t="shared" si="11"/>
      </c>
      <c r="R17" s="161">
        <f t="shared" si="12"/>
      </c>
      <c r="S17" s="162">
        <f t="shared" si="2"/>
      </c>
    </row>
    <row r="18" spans="2:19" ht="15">
      <c r="B18" s="100"/>
      <c r="C18" s="441"/>
      <c r="D18" s="158">
        <f t="shared" si="3"/>
      </c>
      <c r="E18" s="161">
        <f t="shared" si="13"/>
      </c>
      <c r="F18" s="161">
        <f t="shared" si="14"/>
      </c>
      <c r="G18" s="163">
        <f t="shared" si="15"/>
      </c>
      <c r="H18" s="158">
        <f t="shared" si="4"/>
      </c>
      <c r="I18" s="161">
        <f t="shared" si="5"/>
      </c>
      <c r="J18" s="161">
        <f t="shared" si="6"/>
      </c>
      <c r="K18" s="162">
        <f t="shared" si="0"/>
      </c>
      <c r="L18" s="158">
        <f t="shared" si="7"/>
      </c>
      <c r="M18" s="161">
        <f t="shared" si="8"/>
      </c>
      <c r="N18" s="161">
        <f t="shared" si="9"/>
      </c>
      <c r="O18" s="162">
        <f t="shared" si="1"/>
      </c>
      <c r="P18" s="158">
        <f t="shared" si="10"/>
      </c>
      <c r="Q18" s="161">
        <f t="shared" si="11"/>
      </c>
      <c r="R18" s="161">
        <f t="shared" si="12"/>
      </c>
      <c r="S18" s="162">
        <f t="shared" si="2"/>
      </c>
    </row>
    <row r="19" spans="2:19" ht="15.75">
      <c r="B19" s="442" t="s">
        <v>878</v>
      </c>
      <c r="C19" s="440"/>
      <c r="D19" s="158">
        <f t="shared" si="3"/>
      </c>
      <c r="E19" s="161">
        <f t="shared" si="13"/>
      </c>
      <c r="F19" s="161">
        <f t="shared" si="14"/>
      </c>
      <c r="G19" s="163">
        <f t="shared" si="15"/>
      </c>
      <c r="H19" s="158">
        <f t="shared" si="4"/>
      </c>
      <c r="I19" s="161">
        <f t="shared" si="5"/>
      </c>
      <c r="J19" s="161">
        <f t="shared" si="6"/>
      </c>
      <c r="K19" s="162">
        <f t="shared" si="0"/>
      </c>
      <c r="L19" s="158">
        <f t="shared" si="7"/>
      </c>
      <c r="M19" s="161">
        <f t="shared" si="8"/>
      </c>
      <c r="N19" s="161">
        <f t="shared" si="9"/>
      </c>
      <c r="O19" s="162">
        <f t="shared" si="1"/>
      </c>
      <c r="P19" s="158">
        <f t="shared" si="10"/>
      </c>
      <c r="Q19" s="161">
        <f t="shared" si="11"/>
      </c>
      <c r="R19" s="161">
        <f t="shared" si="12"/>
      </c>
      <c r="S19" s="162">
        <f t="shared" si="2"/>
      </c>
    </row>
    <row r="20" spans="2:19" ht="15">
      <c r="B20" s="443" t="s">
        <v>879</v>
      </c>
      <c r="C20" s="444">
        <v>0.0001</v>
      </c>
      <c r="D20" s="158">
        <f t="shared" si="3"/>
      </c>
      <c r="E20" s="161">
        <f t="shared" si="13"/>
      </c>
      <c r="F20" s="161">
        <f t="shared" si="14"/>
      </c>
      <c r="G20" s="163">
        <f t="shared" si="15"/>
      </c>
      <c r="H20" s="158">
        <f t="shared" si="4"/>
      </c>
      <c r="I20" s="161">
        <f t="shared" si="5"/>
      </c>
      <c r="J20" s="161">
        <f t="shared" si="6"/>
      </c>
      <c r="K20" s="162">
        <f t="shared" si="0"/>
      </c>
      <c r="L20" s="158">
        <f t="shared" si="7"/>
      </c>
      <c r="M20" s="161">
        <f t="shared" si="8"/>
      </c>
      <c r="N20" s="161">
        <f t="shared" si="9"/>
      </c>
      <c r="O20" s="162">
        <f t="shared" si="1"/>
      </c>
      <c r="P20" s="158">
        <f t="shared" si="10"/>
      </c>
      <c r="Q20" s="161">
        <f t="shared" si="11"/>
      </c>
      <c r="R20" s="161">
        <f t="shared" si="12"/>
      </c>
      <c r="S20" s="162">
        <f t="shared" si="2"/>
      </c>
    </row>
    <row r="21" spans="2:19" ht="15">
      <c r="B21" s="97"/>
      <c r="C21" s="101"/>
      <c r="D21" s="158">
        <f t="shared" si="3"/>
      </c>
      <c r="E21" s="161">
        <f t="shared" si="13"/>
      </c>
      <c r="F21" s="161">
        <f t="shared" si="14"/>
      </c>
      <c r="G21" s="163">
        <f t="shared" si="15"/>
      </c>
      <c r="H21" s="158">
        <f t="shared" si="4"/>
      </c>
      <c r="I21" s="161">
        <f t="shared" si="5"/>
      </c>
      <c r="J21" s="161">
        <f t="shared" si="6"/>
      </c>
      <c r="K21" s="162">
        <f t="shared" si="0"/>
      </c>
      <c r="L21" s="158">
        <f t="shared" si="7"/>
      </c>
      <c r="M21" s="161">
        <f t="shared" si="8"/>
      </c>
      <c r="N21" s="161">
        <f t="shared" si="9"/>
      </c>
      <c r="O21" s="162">
        <f t="shared" si="1"/>
      </c>
      <c r="P21" s="158">
        <f t="shared" si="10"/>
      </c>
      <c r="Q21" s="161">
        <f t="shared" si="11"/>
      </c>
      <c r="R21" s="161">
        <f t="shared" si="12"/>
      </c>
      <c r="S21" s="162">
        <f t="shared" si="2"/>
      </c>
    </row>
    <row r="22" spans="2:19" ht="15.75">
      <c r="B22" s="451">
        <f>IF(C9="","","Number of Holes")</f>
      </c>
      <c r="C22" s="452"/>
      <c r="D22" s="158">
        <f t="shared" si="3"/>
      </c>
      <c r="E22" s="161">
        <f t="shared" si="13"/>
      </c>
      <c r="F22" s="161">
        <f t="shared" si="14"/>
      </c>
      <c r="G22" s="163">
        <f t="shared" si="15"/>
      </c>
      <c r="H22" s="158">
        <f t="shared" si="4"/>
      </c>
      <c r="I22" s="161">
        <f t="shared" si="5"/>
      </c>
      <c r="J22" s="161">
        <f t="shared" si="6"/>
      </c>
      <c r="K22" s="162">
        <f t="shared" si="0"/>
      </c>
      <c r="L22" s="158">
        <f t="shared" si="7"/>
      </c>
      <c r="M22" s="161">
        <f t="shared" si="8"/>
      </c>
      <c r="N22" s="161">
        <f t="shared" si="9"/>
      </c>
      <c r="O22" s="162">
        <f t="shared" si="1"/>
      </c>
      <c r="P22" s="158">
        <f t="shared" si="10"/>
      </c>
      <c r="Q22" s="161">
        <f t="shared" si="11"/>
      </c>
      <c r="R22" s="161">
        <f t="shared" si="12"/>
      </c>
      <c r="S22" s="162">
        <f t="shared" si="2"/>
      </c>
    </row>
    <row r="23" spans="2:19" ht="15.75">
      <c r="B23" s="442">
        <f>IF(C9="","","Per Revolution")</f>
      </c>
      <c r="C23" s="453"/>
      <c r="D23" s="158">
        <f t="shared" si="3"/>
      </c>
      <c r="E23" s="161">
        <f t="shared" si="13"/>
      </c>
      <c r="F23" s="161">
        <f t="shared" si="14"/>
      </c>
      <c r="G23" s="163">
        <f t="shared" si="15"/>
      </c>
      <c r="H23" s="158">
        <f t="shared" si="4"/>
      </c>
      <c r="I23" s="161">
        <f t="shared" si="5"/>
      </c>
      <c r="J23" s="161">
        <f t="shared" si="6"/>
      </c>
      <c r="K23" s="162">
        <f t="shared" si="0"/>
      </c>
      <c r="L23" s="158">
        <f t="shared" si="7"/>
      </c>
      <c r="M23" s="161">
        <f t="shared" si="8"/>
      </c>
      <c r="N23" s="161">
        <f t="shared" si="9"/>
      </c>
      <c r="O23" s="162">
        <f t="shared" si="1"/>
      </c>
      <c r="P23" s="158">
        <f t="shared" si="10"/>
      </c>
      <c r="Q23" s="161">
        <f t="shared" si="11"/>
      </c>
      <c r="R23" s="161">
        <f t="shared" si="12"/>
      </c>
      <c r="S23" s="162">
        <f t="shared" si="2"/>
      </c>
    </row>
    <row r="24" spans="2:19" ht="15">
      <c r="B24" s="443">
        <f>IF(C9="","","Holes =")</f>
      </c>
      <c r="C24" s="454">
        <f>IF(C9="","",ABS(360/C9))</f>
      </c>
      <c r="D24" s="158">
        <f t="shared" si="3"/>
      </c>
      <c r="E24" s="161">
        <f t="shared" si="13"/>
      </c>
      <c r="F24" s="161">
        <f t="shared" si="14"/>
      </c>
      <c r="G24" s="163">
        <f t="shared" si="15"/>
      </c>
      <c r="H24" s="158">
        <f t="shared" si="4"/>
      </c>
      <c r="I24" s="161">
        <f t="shared" si="5"/>
      </c>
      <c r="J24" s="161">
        <f t="shared" si="6"/>
      </c>
      <c r="K24" s="162">
        <f t="shared" si="0"/>
      </c>
      <c r="L24" s="158">
        <f t="shared" si="7"/>
      </c>
      <c r="M24" s="161">
        <f t="shared" si="8"/>
      </c>
      <c r="N24" s="161">
        <f t="shared" si="9"/>
      </c>
      <c r="O24" s="162">
        <f t="shared" si="1"/>
      </c>
      <c r="P24" s="158">
        <f t="shared" si="10"/>
      </c>
      <c r="Q24" s="161">
        <f t="shared" si="11"/>
      </c>
      <c r="R24" s="161">
        <f t="shared" si="12"/>
      </c>
      <c r="S24" s="162">
        <f t="shared" si="2"/>
      </c>
    </row>
    <row r="25" spans="2:19" ht="15">
      <c r="B25" s="97"/>
      <c r="C25" s="101"/>
      <c r="D25" s="158">
        <f t="shared" si="3"/>
      </c>
      <c r="E25" s="161">
        <f t="shared" si="13"/>
      </c>
      <c r="F25" s="161">
        <f t="shared" si="14"/>
      </c>
      <c r="G25" s="163">
        <f t="shared" si="15"/>
      </c>
      <c r="H25" s="158">
        <f t="shared" si="4"/>
      </c>
      <c r="I25" s="161">
        <f t="shared" si="5"/>
      </c>
      <c r="J25" s="161">
        <f t="shared" si="6"/>
      </c>
      <c r="K25" s="162">
        <f t="shared" si="0"/>
      </c>
      <c r="L25" s="158">
        <f t="shared" si="7"/>
      </c>
      <c r="M25" s="161">
        <f t="shared" si="8"/>
      </c>
      <c r="N25" s="161">
        <f t="shared" si="9"/>
      </c>
      <c r="O25" s="162">
        <f t="shared" si="1"/>
      </c>
      <c r="P25" s="158">
        <f t="shared" si="10"/>
      </c>
      <c r="Q25" s="161">
        <f t="shared" si="11"/>
      </c>
      <c r="R25" s="161">
        <f t="shared" si="12"/>
      </c>
      <c r="S25" s="162">
        <f t="shared" si="2"/>
      </c>
    </row>
    <row r="26" spans="2:19" ht="15.75">
      <c r="B26" s="442">
        <f>IF(C12="","","Offset Per Revolution")</f>
      </c>
      <c r="C26" s="102"/>
      <c r="D26" s="158">
        <f t="shared" si="3"/>
      </c>
      <c r="E26" s="161">
        <f t="shared" si="13"/>
      </c>
      <c r="F26" s="161">
        <f t="shared" si="14"/>
      </c>
      <c r="G26" s="163">
        <f t="shared" si="15"/>
      </c>
      <c r="H26" s="158">
        <f t="shared" si="4"/>
      </c>
      <c r="I26" s="161">
        <f t="shared" si="5"/>
      </c>
      <c r="J26" s="161">
        <f t="shared" si="6"/>
      </c>
      <c r="K26" s="162">
        <f t="shared" si="0"/>
      </c>
      <c r="L26" s="158">
        <f t="shared" si="7"/>
      </c>
      <c r="M26" s="161">
        <f t="shared" si="8"/>
      </c>
      <c r="N26" s="161">
        <f t="shared" si="9"/>
      </c>
      <c r="O26" s="162">
        <f t="shared" si="1"/>
      </c>
      <c r="P26" s="158">
        <f t="shared" si="10"/>
      </c>
      <c r="Q26" s="161">
        <f t="shared" si="11"/>
      </c>
      <c r="R26" s="161">
        <f t="shared" si="12"/>
      </c>
      <c r="S26" s="162">
        <f t="shared" si="2"/>
      </c>
    </row>
    <row r="27" spans="2:19" ht="15">
      <c r="B27" s="97">
        <f>IF(C12="","","Offset =")</f>
      </c>
      <c r="C27" s="455">
        <f>IF(C12="","",SUM(C12*C24))</f>
      </c>
      <c r="D27" s="158">
        <f t="shared" si="3"/>
      </c>
      <c r="E27" s="161">
        <f t="shared" si="13"/>
      </c>
      <c r="F27" s="161">
        <f t="shared" si="14"/>
      </c>
      <c r="G27" s="163">
        <f t="shared" si="15"/>
      </c>
      <c r="H27" s="158">
        <f t="shared" si="4"/>
      </c>
      <c r="I27" s="161">
        <f t="shared" si="5"/>
      </c>
      <c r="J27" s="161">
        <f t="shared" si="6"/>
      </c>
      <c r="K27" s="162">
        <f t="shared" si="0"/>
      </c>
      <c r="L27" s="158">
        <f t="shared" si="7"/>
      </c>
      <c r="M27" s="161">
        <f t="shared" si="8"/>
      </c>
      <c r="N27" s="161">
        <f t="shared" si="9"/>
      </c>
      <c r="O27" s="162">
        <f t="shared" si="1"/>
      </c>
      <c r="P27" s="158">
        <f t="shared" si="10"/>
      </c>
      <c r="Q27" s="161">
        <f t="shared" si="11"/>
      </c>
      <c r="R27" s="161">
        <f t="shared" si="12"/>
      </c>
      <c r="S27" s="162">
        <f t="shared" si="2"/>
      </c>
    </row>
    <row r="28" spans="2:19" ht="15">
      <c r="B28" s="97"/>
      <c r="C28" s="101"/>
      <c r="D28" s="158">
        <f t="shared" si="3"/>
      </c>
      <c r="E28" s="161">
        <f t="shared" si="13"/>
      </c>
      <c r="F28" s="161">
        <f t="shared" si="14"/>
      </c>
      <c r="G28" s="163">
        <f t="shared" si="15"/>
      </c>
      <c r="H28" s="158">
        <f t="shared" si="4"/>
      </c>
      <c r="I28" s="161">
        <f t="shared" si="5"/>
      </c>
      <c r="J28" s="161">
        <f t="shared" si="6"/>
      </c>
      <c r="K28" s="162">
        <f t="shared" si="0"/>
      </c>
      <c r="L28" s="158">
        <f t="shared" si="7"/>
      </c>
      <c r="M28" s="161">
        <f t="shared" si="8"/>
      </c>
      <c r="N28" s="161">
        <f t="shared" si="9"/>
      </c>
      <c r="O28" s="162">
        <f t="shared" si="1"/>
      </c>
      <c r="P28" s="158">
        <f t="shared" si="10"/>
      </c>
      <c r="Q28" s="161">
        <f t="shared" si="11"/>
      </c>
      <c r="R28" s="161">
        <f t="shared" si="12"/>
      </c>
      <c r="S28" s="162">
        <f t="shared" si="2"/>
      </c>
    </row>
    <row r="29" spans="2:19" ht="15.75">
      <c r="B29" s="442">
        <f>IF(C13="","","Offset Per Hole")</f>
      </c>
      <c r="C29" s="102"/>
      <c r="D29" s="158">
        <f t="shared" si="3"/>
      </c>
      <c r="E29" s="161">
        <f t="shared" si="13"/>
      </c>
      <c r="F29" s="161">
        <f t="shared" si="14"/>
      </c>
      <c r="G29" s="163">
        <f t="shared" si="15"/>
      </c>
      <c r="H29" s="158">
        <f t="shared" si="4"/>
      </c>
      <c r="I29" s="161">
        <f t="shared" si="5"/>
      </c>
      <c r="J29" s="161">
        <f t="shared" si="6"/>
      </c>
      <c r="K29" s="162">
        <f t="shared" si="0"/>
      </c>
      <c r="L29" s="158">
        <f t="shared" si="7"/>
      </c>
      <c r="M29" s="161">
        <f t="shared" si="8"/>
      </c>
      <c r="N29" s="161">
        <f t="shared" si="9"/>
      </c>
      <c r="O29" s="162">
        <f t="shared" si="1"/>
      </c>
      <c r="P29" s="158">
        <f t="shared" si="10"/>
      </c>
      <c r="Q29" s="161">
        <f t="shared" si="11"/>
      </c>
      <c r="R29" s="161">
        <f t="shared" si="12"/>
      </c>
      <c r="S29" s="162">
        <f t="shared" si="2"/>
      </c>
    </row>
    <row r="30" spans="2:19" ht="15">
      <c r="B30" s="97">
        <f>IF(C13="","","Offset =")</f>
      </c>
      <c r="C30" s="152">
        <f>IF(C13="","",C13/C24)</f>
      </c>
      <c r="D30" s="158">
        <f t="shared" si="3"/>
      </c>
      <c r="E30" s="161">
        <f t="shared" si="13"/>
      </c>
      <c r="F30" s="161">
        <f t="shared" si="14"/>
      </c>
      <c r="G30" s="163">
        <f t="shared" si="15"/>
      </c>
      <c r="H30" s="158">
        <f t="shared" si="4"/>
      </c>
      <c r="I30" s="161">
        <f t="shared" si="5"/>
      </c>
      <c r="J30" s="161">
        <f t="shared" si="6"/>
      </c>
      <c r="K30" s="162">
        <f t="shared" si="0"/>
      </c>
      <c r="L30" s="158">
        <f t="shared" si="7"/>
      </c>
      <c r="M30" s="161">
        <f t="shared" si="8"/>
      </c>
      <c r="N30" s="161">
        <f t="shared" si="9"/>
      </c>
      <c r="O30" s="162">
        <f t="shared" si="1"/>
      </c>
      <c r="P30" s="158">
        <f t="shared" si="10"/>
      </c>
      <c r="Q30" s="161">
        <f t="shared" si="11"/>
      </c>
      <c r="R30" s="161">
        <f t="shared" si="12"/>
      </c>
      <c r="S30" s="162">
        <f t="shared" si="2"/>
      </c>
    </row>
    <row r="31" spans="2:19" ht="15">
      <c r="B31" s="97"/>
      <c r="C31" s="133"/>
      <c r="D31" s="158">
        <f t="shared" si="3"/>
      </c>
      <c r="E31" s="161">
        <f t="shared" si="13"/>
      </c>
      <c r="F31" s="161">
        <f t="shared" si="14"/>
      </c>
      <c r="G31" s="163">
        <f t="shared" si="15"/>
      </c>
      <c r="H31" s="158">
        <f t="shared" si="4"/>
      </c>
      <c r="I31" s="161">
        <f t="shared" si="5"/>
      </c>
      <c r="J31" s="161">
        <f t="shared" si="6"/>
      </c>
      <c r="K31" s="162">
        <f t="shared" si="0"/>
      </c>
      <c r="L31" s="158">
        <f t="shared" si="7"/>
      </c>
      <c r="M31" s="161">
        <f t="shared" si="8"/>
      </c>
      <c r="N31" s="161">
        <f t="shared" si="9"/>
      </c>
      <c r="O31" s="162">
        <f t="shared" si="1"/>
      </c>
      <c r="P31" s="158">
        <f t="shared" si="10"/>
      </c>
      <c r="Q31" s="161">
        <f t="shared" si="11"/>
      </c>
      <c r="R31" s="161">
        <f t="shared" si="12"/>
      </c>
      <c r="S31" s="162">
        <f t="shared" si="2"/>
      </c>
    </row>
    <row r="32" spans="2:19" ht="15.75">
      <c r="B32" s="442" t="s">
        <v>280</v>
      </c>
      <c r="C32" s="102"/>
      <c r="D32" s="158">
        <f t="shared" si="3"/>
      </c>
      <c r="E32" s="161">
        <f t="shared" si="13"/>
      </c>
      <c r="F32" s="161">
        <f t="shared" si="14"/>
      </c>
      <c r="G32" s="163">
        <f t="shared" si="15"/>
      </c>
      <c r="H32" s="158">
        <f t="shared" si="4"/>
      </c>
      <c r="I32" s="161">
        <f t="shared" si="5"/>
      </c>
      <c r="J32" s="161">
        <f t="shared" si="6"/>
      </c>
      <c r="K32" s="162">
        <f t="shared" si="0"/>
      </c>
      <c r="L32" s="158">
        <f t="shared" si="7"/>
      </c>
      <c r="M32" s="161">
        <f t="shared" si="8"/>
      </c>
      <c r="N32" s="161">
        <f t="shared" si="9"/>
      </c>
      <c r="O32" s="162">
        <f t="shared" si="1"/>
      </c>
      <c r="P32" s="158">
        <f t="shared" si="10"/>
      </c>
      <c r="Q32" s="161">
        <f t="shared" si="11"/>
      </c>
      <c r="R32" s="161">
        <f t="shared" si="12"/>
      </c>
      <c r="S32" s="162">
        <f t="shared" si="2"/>
      </c>
    </row>
    <row r="33" spans="2:19" ht="15">
      <c r="B33" s="97">
        <f>IF(G4="","",TRUNC(G4))</f>
      </c>
      <c r="C33" s="98" t="s">
        <v>90</v>
      </c>
      <c r="D33" s="158">
        <f t="shared" si="3"/>
      </c>
      <c r="E33" s="161">
        <f t="shared" si="13"/>
      </c>
      <c r="F33" s="161">
        <f t="shared" si="14"/>
      </c>
      <c r="G33" s="163">
        <f t="shared" si="15"/>
      </c>
      <c r="H33" s="158">
        <f t="shared" si="4"/>
      </c>
      <c r="I33" s="161">
        <f t="shared" si="5"/>
      </c>
      <c r="J33" s="161">
        <f t="shared" si="6"/>
      </c>
      <c r="K33" s="162">
        <f t="shared" si="0"/>
      </c>
      <c r="L33" s="158">
        <f t="shared" si="7"/>
      </c>
      <c r="M33" s="161">
        <f t="shared" si="8"/>
      </c>
      <c r="N33" s="161">
        <f t="shared" si="9"/>
      </c>
      <c r="O33" s="162">
        <f t="shared" si="1"/>
      </c>
      <c r="P33" s="158">
        <f t="shared" si="10"/>
      </c>
      <c r="Q33" s="161">
        <f t="shared" si="11"/>
      </c>
      <c r="R33" s="161">
        <f t="shared" si="12"/>
      </c>
      <c r="S33" s="162">
        <f t="shared" si="2"/>
      </c>
    </row>
    <row r="34" spans="2:19" ht="15">
      <c r="B34" s="97">
        <f>IF(G4="","",TRUNC((G4-B33)*60))</f>
      </c>
      <c r="C34" s="98" t="s">
        <v>111</v>
      </c>
      <c r="D34" s="158">
        <f t="shared" si="3"/>
      </c>
      <c r="E34" s="161">
        <f t="shared" si="13"/>
      </c>
      <c r="F34" s="161">
        <f t="shared" si="14"/>
      </c>
      <c r="G34" s="163">
        <f t="shared" si="15"/>
      </c>
      <c r="H34" s="158">
        <f t="shared" si="4"/>
      </c>
      <c r="I34" s="161">
        <f t="shared" si="5"/>
      </c>
      <c r="J34" s="161">
        <f t="shared" si="6"/>
      </c>
      <c r="K34" s="162">
        <f t="shared" si="0"/>
      </c>
      <c r="L34" s="158">
        <f t="shared" si="7"/>
      </c>
      <c r="M34" s="161">
        <f t="shared" si="8"/>
      </c>
      <c r="N34" s="161">
        <f t="shared" si="9"/>
      </c>
      <c r="O34" s="162">
        <f t="shared" si="1"/>
      </c>
      <c r="P34" s="158">
        <f t="shared" si="10"/>
      </c>
      <c r="Q34" s="161">
        <f t="shared" si="11"/>
      </c>
      <c r="R34" s="161">
        <f t="shared" si="12"/>
      </c>
      <c r="S34" s="162">
        <f t="shared" si="2"/>
      </c>
    </row>
    <row r="35" spans="2:19" ht="15">
      <c r="B35" s="97">
        <f>IF(G4="","",((G4-B33)*60-B34)*60)</f>
      </c>
      <c r="C35" s="98" t="s">
        <v>112</v>
      </c>
      <c r="D35" s="158">
        <f t="shared" si="3"/>
      </c>
      <c r="E35" s="161">
        <f t="shared" si="13"/>
      </c>
      <c r="F35" s="161">
        <f t="shared" si="14"/>
      </c>
      <c r="G35" s="163">
        <f t="shared" si="15"/>
      </c>
      <c r="H35" s="158">
        <f t="shared" si="4"/>
      </c>
      <c r="I35" s="161">
        <f t="shared" si="5"/>
      </c>
      <c r="J35" s="161">
        <f t="shared" si="6"/>
      </c>
      <c r="K35" s="162">
        <f t="shared" si="0"/>
      </c>
      <c r="L35" s="158">
        <f t="shared" si="7"/>
      </c>
      <c r="M35" s="161">
        <f t="shared" si="8"/>
      </c>
      <c r="N35" s="161">
        <f t="shared" si="9"/>
      </c>
      <c r="O35" s="162">
        <f t="shared" si="1"/>
      </c>
      <c r="P35" s="158">
        <f t="shared" si="10"/>
      </c>
      <c r="Q35" s="161">
        <f t="shared" si="11"/>
      </c>
      <c r="R35" s="161">
        <f t="shared" si="12"/>
      </c>
      <c r="S35" s="162">
        <f t="shared" si="2"/>
      </c>
    </row>
    <row r="36" spans="2:19" ht="15">
      <c r="B36" s="97"/>
      <c r="C36" s="101"/>
      <c r="D36" s="158">
        <f t="shared" si="3"/>
      </c>
      <c r="E36" s="161">
        <f t="shared" si="13"/>
      </c>
      <c r="F36" s="161">
        <f t="shared" si="14"/>
      </c>
      <c r="G36" s="163">
        <f t="shared" si="15"/>
      </c>
      <c r="H36" s="158">
        <f t="shared" si="4"/>
      </c>
      <c r="I36" s="161">
        <f t="shared" si="5"/>
      </c>
      <c r="J36" s="161">
        <f t="shared" si="6"/>
      </c>
      <c r="K36" s="162">
        <f aca="true" t="shared" si="16" ref="K36:K52">IF(H36="","",K35+$G$4)</f>
      </c>
      <c r="L36" s="158">
        <f t="shared" si="7"/>
      </c>
      <c r="M36" s="161">
        <f t="shared" si="8"/>
      </c>
      <c r="N36" s="161">
        <f t="shared" si="9"/>
      </c>
      <c r="O36" s="162">
        <f t="shared" si="1"/>
      </c>
      <c r="P36" s="158">
        <f t="shared" si="10"/>
      </c>
      <c r="Q36" s="161">
        <f t="shared" si="11"/>
      </c>
      <c r="R36" s="161">
        <f t="shared" si="12"/>
      </c>
      <c r="S36" s="162">
        <f t="shared" si="2"/>
      </c>
    </row>
    <row r="37" spans="2:19" ht="15.75">
      <c r="B37" s="442" t="s">
        <v>896</v>
      </c>
      <c r="C37" s="102"/>
      <c r="D37" s="158">
        <f t="shared" si="3"/>
      </c>
      <c r="E37" s="161">
        <f t="shared" si="13"/>
      </c>
      <c r="F37" s="161">
        <f t="shared" si="14"/>
      </c>
      <c r="G37" s="163">
        <f t="shared" si="15"/>
      </c>
      <c r="H37" s="158">
        <f t="shared" si="4"/>
      </c>
      <c r="I37" s="161">
        <f t="shared" si="5"/>
      </c>
      <c r="J37" s="161">
        <f t="shared" si="6"/>
      </c>
      <c r="K37" s="162">
        <f t="shared" si="16"/>
      </c>
      <c r="L37" s="158">
        <f t="shared" si="7"/>
      </c>
      <c r="M37" s="161">
        <f t="shared" si="8"/>
      </c>
      <c r="N37" s="161">
        <f t="shared" si="9"/>
      </c>
      <c r="O37" s="162">
        <f t="shared" si="1"/>
      </c>
      <c r="P37" s="158">
        <f t="shared" si="10"/>
      </c>
      <c r="Q37" s="161">
        <f t="shared" si="11"/>
      </c>
      <c r="R37" s="161">
        <f t="shared" si="12"/>
      </c>
      <c r="S37" s="162">
        <f t="shared" si="2"/>
      </c>
    </row>
    <row r="38" spans="2:19" ht="15">
      <c r="B38" s="458">
        <f>IF(C9="","",IF(C9&gt;0,"Clockwise    &gt;","&lt;    Counter Clockwise"))</f>
      </c>
      <c r="C38" s="102"/>
      <c r="D38" s="158">
        <f t="shared" si="3"/>
      </c>
      <c r="E38" s="161">
        <f t="shared" si="13"/>
      </c>
      <c r="F38" s="161">
        <f t="shared" si="14"/>
      </c>
      <c r="G38" s="163">
        <f t="shared" si="15"/>
      </c>
      <c r="H38" s="158">
        <f t="shared" si="4"/>
      </c>
      <c r="I38" s="161">
        <f t="shared" si="5"/>
      </c>
      <c r="J38" s="161">
        <f t="shared" si="6"/>
      </c>
      <c r="K38" s="162">
        <f t="shared" si="16"/>
      </c>
      <c r="L38" s="158">
        <f t="shared" si="7"/>
      </c>
      <c r="M38" s="161">
        <f t="shared" si="8"/>
      </c>
      <c r="N38" s="161">
        <f t="shared" si="9"/>
      </c>
      <c r="O38" s="162">
        <f t="shared" si="1"/>
      </c>
      <c r="P38" s="158">
        <f t="shared" si="10"/>
      </c>
      <c r="Q38" s="161">
        <f t="shared" si="11"/>
      </c>
      <c r="R38" s="161">
        <f t="shared" si="12"/>
      </c>
      <c r="S38" s="162">
        <f t="shared" si="2"/>
      </c>
    </row>
    <row r="39" spans="2:19" ht="15">
      <c r="B39" s="97"/>
      <c r="C39" s="101"/>
      <c r="D39" s="158">
        <f t="shared" si="3"/>
      </c>
      <c r="E39" s="161">
        <f t="shared" si="13"/>
      </c>
      <c r="F39" s="161">
        <f t="shared" si="14"/>
      </c>
      <c r="G39" s="163">
        <f t="shared" si="15"/>
      </c>
      <c r="H39" s="158">
        <f t="shared" si="4"/>
      </c>
      <c r="I39" s="161">
        <f t="shared" si="5"/>
      </c>
      <c r="J39" s="161">
        <f t="shared" si="6"/>
      </c>
      <c r="K39" s="162">
        <f t="shared" si="16"/>
      </c>
      <c r="L39" s="158">
        <f t="shared" si="7"/>
      </c>
      <c r="M39" s="161">
        <f t="shared" si="8"/>
      </c>
      <c r="N39" s="161">
        <f t="shared" si="9"/>
      </c>
      <c r="O39" s="162">
        <f t="shared" si="1"/>
      </c>
      <c r="P39" s="158">
        <f t="shared" si="10"/>
      </c>
      <c r="Q39" s="161">
        <f t="shared" si="11"/>
      </c>
      <c r="R39" s="161">
        <f t="shared" si="12"/>
      </c>
      <c r="S39" s="162">
        <f t="shared" si="2"/>
      </c>
    </row>
    <row r="40" spans="2:19" ht="15.75">
      <c r="B40" s="442" t="s">
        <v>897</v>
      </c>
      <c r="C40" s="102"/>
      <c r="D40" s="158">
        <f t="shared" si="3"/>
      </c>
      <c r="E40" s="161">
        <f t="shared" si="13"/>
      </c>
      <c r="F40" s="161">
        <f t="shared" si="14"/>
      </c>
      <c r="G40" s="163">
        <f t="shared" si="15"/>
      </c>
      <c r="H40" s="158">
        <f t="shared" si="4"/>
      </c>
      <c r="I40" s="161">
        <f t="shared" si="5"/>
      </c>
      <c r="J40" s="161">
        <f t="shared" si="6"/>
      </c>
      <c r="K40" s="162">
        <f t="shared" si="16"/>
      </c>
      <c r="L40" s="158">
        <f t="shared" si="7"/>
      </c>
      <c r="M40" s="161">
        <f t="shared" si="8"/>
      </c>
      <c r="N40" s="161">
        <f t="shared" si="9"/>
      </c>
      <c r="O40" s="162">
        <f t="shared" si="1"/>
      </c>
      <c r="P40" s="158">
        <f t="shared" si="10"/>
      </c>
      <c r="Q40" s="161">
        <f t="shared" si="11"/>
      </c>
      <c r="R40" s="161">
        <f t="shared" si="12"/>
      </c>
      <c r="S40" s="162">
        <f t="shared" si="2"/>
      </c>
    </row>
    <row r="41" spans="2:19" ht="15">
      <c r="B41" s="459" t="str">
        <f>IF(C12+C13="","None",IF(C12+C13&gt;0,"Outward","Inward"))</f>
        <v>None</v>
      </c>
      <c r="C41" s="102"/>
      <c r="D41" s="158">
        <f t="shared" si="3"/>
      </c>
      <c r="E41" s="161">
        <f t="shared" si="13"/>
      </c>
      <c r="F41" s="161">
        <f t="shared" si="14"/>
      </c>
      <c r="G41" s="163">
        <f t="shared" si="15"/>
      </c>
      <c r="H41" s="158">
        <f t="shared" si="4"/>
      </c>
      <c r="I41" s="161">
        <f t="shared" si="5"/>
      </c>
      <c r="J41" s="161">
        <f t="shared" si="6"/>
      </c>
      <c r="K41" s="162">
        <f t="shared" si="16"/>
      </c>
      <c r="L41" s="158">
        <f t="shared" si="7"/>
      </c>
      <c r="M41" s="161">
        <f t="shared" si="8"/>
      </c>
      <c r="N41" s="161">
        <f t="shared" si="9"/>
      </c>
      <c r="O41" s="162">
        <f t="shared" si="1"/>
      </c>
      <c r="P41" s="158">
        <f t="shared" si="10"/>
      </c>
      <c r="Q41" s="161">
        <f t="shared" si="11"/>
      </c>
      <c r="R41" s="161">
        <f t="shared" si="12"/>
      </c>
      <c r="S41" s="162">
        <f t="shared" si="2"/>
      </c>
    </row>
    <row r="42" spans="2:19" ht="15">
      <c r="B42" s="97"/>
      <c r="C42" s="102"/>
      <c r="D42" s="158">
        <f t="shared" si="3"/>
      </c>
      <c r="E42" s="161">
        <f t="shared" si="13"/>
      </c>
      <c r="F42" s="161">
        <f t="shared" si="14"/>
      </c>
      <c r="G42" s="163">
        <f t="shared" si="15"/>
      </c>
      <c r="H42" s="158">
        <f t="shared" si="4"/>
      </c>
      <c r="I42" s="161">
        <f t="shared" si="5"/>
      </c>
      <c r="J42" s="161">
        <f t="shared" si="6"/>
      </c>
      <c r="K42" s="162">
        <f t="shared" si="16"/>
      </c>
      <c r="L42" s="158">
        <f t="shared" si="7"/>
      </c>
      <c r="M42" s="161">
        <f t="shared" si="8"/>
      </c>
      <c r="N42" s="161">
        <f t="shared" si="9"/>
      </c>
      <c r="O42" s="162">
        <f t="shared" si="1"/>
      </c>
      <c r="P42" s="158">
        <f t="shared" si="10"/>
      </c>
      <c r="Q42" s="161">
        <f t="shared" si="11"/>
      </c>
      <c r="R42" s="161">
        <f t="shared" si="12"/>
      </c>
      <c r="S42" s="162">
        <f t="shared" si="2"/>
      </c>
    </row>
    <row r="43" spans="2:19" ht="15">
      <c r="B43" s="97"/>
      <c r="C43" s="101"/>
      <c r="D43" s="158">
        <f t="shared" si="3"/>
      </c>
      <c r="E43" s="161">
        <f t="shared" si="13"/>
      </c>
      <c r="F43" s="161">
        <f t="shared" si="14"/>
      </c>
      <c r="G43" s="163">
        <f t="shared" si="15"/>
      </c>
      <c r="H43" s="158">
        <f t="shared" si="4"/>
      </c>
      <c r="I43" s="161">
        <f t="shared" si="5"/>
      </c>
      <c r="J43" s="161">
        <f t="shared" si="6"/>
      </c>
      <c r="K43" s="162">
        <f t="shared" si="16"/>
      </c>
      <c r="L43" s="158">
        <f t="shared" si="7"/>
      </c>
      <c r="M43" s="161">
        <f t="shared" si="8"/>
      </c>
      <c r="N43" s="161">
        <f t="shared" si="9"/>
      </c>
      <c r="O43" s="162">
        <f t="shared" si="1"/>
      </c>
      <c r="P43" s="158">
        <f t="shared" si="10"/>
      </c>
      <c r="Q43" s="161">
        <f t="shared" si="11"/>
      </c>
      <c r="R43" s="161">
        <f t="shared" si="12"/>
      </c>
      <c r="S43" s="162">
        <f t="shared" si="2"/>
      </c>
    </row>
    <row r="44" spans="2:19" ht="15">
      <c r="B44" s="97"/>
      <c r="C44" s="101"/>
      <c r="D44" s="158">
        <f t="shared" si="3"/>
      </c>
      <c r="E44" s="161">
        <f t="shared" si="13"/>
      </c>
      <c r="F44" s="161">
        <f t="shared" si="14"/>
      </c>
      <c r="G44" s="163">
        <f t="shared" si="15"/>
      </c>
      <c r="H44" s="158">
        <f t="shared" si="4"/>
      </c>
      <c r="I44" s="161">
        <f t="shared" si="5"/>
      </c>
      <c r="J44" s="161">
        <f t="shared" si="6"/>
      </c>
      <c r="K44" s="162">
        <f t="shared" si="16"/>
      </c>
      <c r="L44" s="158">
        <f t="shared" si="7"/>
      </c>
      <c r="M44" s="161">
        <f t="shared" si="8"/>
      </c>
      <c r="N44" s="161">
        <f t="shared" si="9"/>
      </c>
      <c r="O44" s="162">
        <f t="shared" si="1"/>
      </c>
      <c r="P44" s="158">
        <f t="shared" si="10"/>
      </c>
      <c r="Q44" s="161">
        <f t="shared" si="11"/>
      </c>
      <c r="R44" s="161">
        <f t="shared" si="12"/>
      </c>
      <c r="S44" s="162">
        <f t="shared" si="2"/>
      </c>
    </row>
    <row r="45" spans="2:19" ht="15">
      <c r="B45" s="97"/>
      <c r="C45" s="101"/>
      <c r="D45" s="158">
        <f t="shared" si="3"/>
      </c>
      <c r="E45" s="161">
        <f t="shared" si="13"/>
      </c>
      <c r="F45" s="161">
        <f t="shared" si="14"/>
      </c>
      <c r="G45" s="163">
        <f t="shared" si="15"/>
      </c>
      <c r="H45" s="158">
        <f t="shared" si="4"/>
      </c>
      <c r="I45" s="161">
        <f t="shared" si="5"/>
      </c>
      <c r="J45" s="161">
        <f t="shared" si="6"/>
      </c>
      <c r="K45" s="162">
        <f t="shared" si="16"/>
      </c>
      <c r="L45" s="158">
        <f t="shared" si="7"/>
      </c>
      <c r="M45" s="161">
        <f t="shared" si="8"/>
      </c>
      <c r="N45" s="161">
        <f t="shared" si="9"/>
      </c>
      <c r="O45" s="162">
        <f t="shared" si="1"/>
      </c>
      <c r="P45" s="158">
        <f t="shared" si="10"/>
      </c>
      <c r="Q45" s="161">
        <f t="shared" si="11"/>
      </c>
      <c r="R45" s="161">
        <f t="shared" si="12"/>
      </c>
      <c r="S45" s="162">
        <f t="shared" si="2"/>
      </c>
    </row>
    <row r="46" spans="2:19" ht="15">
      <c r="B46" s="97" t="s">
        <v>296</v>
      </c>
      <c r="C46" s="456" t="s">
        <v>893</v>
      </c>
      <c r="D46" s="158">
        <f t="shared" si="3"/>
      </c>
      <c r="E46" s="161">
        <f t="shared" si="13"/>
      </c>
      <c r="F46" s="161">
        <f t="shared" si="14"/>
      </c>
      <c r="G46" s="163">
        <f t="shared" si="15"/>
      </c>
      <c r="H46" s="158">
        <f t="shared" si="4"/>
      </c>
      <c r="I46" s="161">
        <f t="shared" si="5"/>
      </c>
      <c r="J46" s="161">
        <f t="shared" si="6"/>
      </c>
      <c r="K46" s="162">
        <f t="shared" si="16"/>
      </c>
      <c r="L46" s="158">
        <f t="shared" si="7"/>
      </c>
      <c r="M46" s="161">
        <f t="shared" si="8"/>
      </c>
      <c r="N46" s="161">
        <f t="shared" si="9"/>
      </c>
      <c r="O46" s="162">
        <f t="shared" si="1"/>
      </c>
      <c r="P46" s="158">
        <f t="shared" si="10"/>
      </c>
      <c r="Q46" s="161">
        <f t="shared" si="11"/>
      </c>
      <c r="R46" s="161">
        <f t="shared" si="12"/>
      </c>
      <c r="S46" s="162">
        <f t="shared" si="2"/>
      </c>
    </row>
    <row r="47" spans="2:19" ht="15">
      <c r="B47" s="97" t="s">
        <v>300</v>
      </c>
      <c r="C47" s="456" t="s">
        <v>894</v>
      </c>
      <c r="D47" s="158">
        <f t="shared" si="3"/>
      </c>
      <c r="E47" s="161">
        <f t="shared" si="13"/>
      </c>
      <c r="F47" s="161">
        <f t="shared" si="14"/>
      </c>
      <c r="G47" s="163">
        <f t="shared" si="15"/>
      </c>
      <c r="H47" s="158">
        <f t="shared" si="4"/>
      </c>
      <c r="I47" s="161">
        <f t="shared" si="5"/>
      </c>
      <c r="J47" s="161">
        <f t="shared" si="6"/>
      </c>
      <c r="K47" s="162">
        <f t="shared" si="16"/>
      </c>
      <c r="L47" s="158">
        <f t="shared" si="7"/>
      </c>
      <c r="M47" s="161">
        <f t="shared" si="8"/>
      </c>
      <c r="N47" s="161">
        <f t="shared" si="9"/>
      </c>
      <c r="O47" s="162">
        <f t="shared" si="1"/>
      </c>
      <c r="P47" s="158">
        <f t="shared" si="10"/>
      </c>
      <c r="Q47" s="161">
        <f t="shared" si="11"/>
      </c>
      <c r="R47" s="161">
        <f t="shared" si="12"/>
      </c>
      <c r="S47" s="162">
        <f t="shared" si="2"/>
      </c>
    </row>
    <row r="48" spans="2:19" ht="15">
      <c r="B48" s="97" t="s">
        <v>296</v>
      </c>
      <c r="C48" s="98" t="s">
        <v>893</v>
      </c>
      <c r="D48" s="158">
        <f t="shared" si="3"/>
      </c>
      <c r="E48" s="161">
        <f t="shared" si="13"/>
      </c>
      <c r="F48" s="161">
        <f t="shared" si="14"/>
      </c>
      <c r="G48" s="163">
        <f t="shared" si="15"/>
      </c>
      <c r="H48" s="158">
        <f t="shared" si="4"/>
      </c>
      <c r="I48" s="161">
        <f t="shared" si="5"/>
      </c>
      <c r="J48" s="161">
        <f t="shared" si="6"/>
      </c>
      <c r="K48" s="162">
        <f t="shared" si="16"/>
      </c>
      <c r="L48" s="158">
        <f t="shared" si="7"/>
      </c>
      <c r="M48" s="161">
        <f t="shared" si="8"/>
      </c>
      <c r="N48" s="161">
        <f t="shared" si="9"/>
      </c>
      <c r="O48" s="162">
        <f t="shared" si="1"/>
      </c>
      <c r="P48" s="158">
        <f t="shared" si="10"/>
      </c>
      <c r="Q48" s="161">
        <f t="shared" si="11"/>
      </c>
      <c r="R48" s="161">
        <f t="shared" si="12"/>
      </c>
      <c r="S48" s="162">
        <f t="shared" si="2"/>
      </c>
    </row>
    <row r="49" spans="2:19" ht="15">
      <c r="B49" s="97" t="s">
        <v>310</v>
      </c>
      <c r="C49" s="98" t="s">
        <v>895</v>
      </c>
      <c r="D49" s="158">
        <f t="shared" si="3"/>
      </c>
      <c r="E49" s="161">
        <f t="shared" si="13"/>
      </c>
      <c r="F49" s="161">
        <f t="shared" si="14"/>
      </c>
      <c r="G49" s="163">
        <f t="shared" si="15"/>
      </c>
      <c r="H49" s="158">
        <f t="shared" si="4"/>
      </c>
      <c r="I49" s="161">
        <f t="shared" si="5"/>
      </c>
      <c r="J49" s="161">
        <f t="shared" si="6"/>
      </c>
      <c r="K49" s="162">
        <f t="shared" si="16"/>
      </c>
      <c r="L49" s="158">
        <f t="shared" si="7"/>
      </c>
      <c r="M49" s="161">
        <f t="shared" si="8"/>
      </c>
      <c r="N49" s="161">
        <f t="shared" si="9"/>
      </c>
      <c r="O49" s="162">
        <f t="shared" si="1"/>
      </c>
      <c r="P49" s="158">
        <f t="shared" si="10"/>
      </c>
      <c r="Q49" s="161">
        <f t="shared" si="11"/>
      </c>
      <c r="R49" s="161">
        <f t="shared" si="12"/>
      </c>
      <c r="S49" s="162">
        <f t="shared" si="2"/>
      </c>
    </row>
    <row r="50" spans="2:19" ht="15">
      <c r="B50" s="97"/>
      <c r="C50" s="101"/>
      <c r="D50" s="158">
        <f t="shared" si="3"/>
      </c>
      <c r="E50" s="161">
        <f t="shared" si="13"/>
      </c>
      <c r="F50" s="161">
        <f t="shared" si="14"/>
      </c>
      <c r="G50" s="163">
        <f t="shared" si="15"/>
      </c>
      <c r="H50" s="158">
        <f t="shared" si="4"/>
      </c>
      <c r="I50" s="161">
        <f t="shared" si="5"/>
      </c>
      <c r="J50" s="161">
        <f t="shared" si="6"/>
      </c>
      <c r="K50" s="162">
        <f t="shared" si="16"/>
      </c>
      <c r="L50" s="158">
        <f t="shared" si="7"/>
      </c>
      <c r="M50" s="161">
        <f t="shared" si="8"/>
      </c>
      <c r="N50" s="161">
        <f t="shared" si="9"/>
      </c>
      <c r="O50" s="162">
        <f t="shared" si="1"/>
      </c>
      <c r="P50" s="158">
        <f t="shared" si="10"/>
      </c>
      <c r="Q50" s="161">
        <f t="shared" si="11"/>
      </c>
      <c r="R50" s="161">
        <f t="shared" si="12"/>
      </c>
      <c r="S50" s="162">
        <f t="shared" si="2"/>
      </c>
    </row>
    <row r="51" spans="2:19" ht="15">
      <c r="B51" s="97"/>
      <c r="C51" s="101"/>
      <c r="D51" s="158">
        <f t="shared" si="3"/>
      </c>
      <c r="E51" s="161">
        <f t="shared" si="13"/>
      </c>
      <c r="F51" s="161">
        <f t="shared" si="14"/>
      </c>
      <c r="G51" s="163">
        <f t="shared" si="15"/>
      </c>
      <c r="H51" s="158">
        <f t="shared" si="4"/>
      </c>
      <c r="I51" s="161">
        <f t="shared" si="5"/>
      </c>
      <c r="J51" s="161">
        <f t="shared" si="6"/>
      </c>
      <c r="K51" s="162">
        <f t="shared" si="16"/>
      </c>
      <c r="L51" s="158">
        <f t="shared" si="7"/>
      </c>
      <c r="M51" s="161">
        <f t="shared" si="8"/>
      </c>
      <c r="N51" s="161">
        <f t="shared" si="9"/>
      </c>
      <c r="O51" s="162">
        <f t="shared" si="1"/>
      </c>
      <c r="P51" s="158">
        <f t="shared" si="10"/>
      </c>
      <c r="Q51" s="161">
        <f t="shared" si="11"/>
      </c>
      <c r="R51" s="161">
        <f t="shared" si="12"/>
      </c>
      <c r="S51" s="162">
        <f t="shared" si="2"/>
      </c>
    </row>
    <row r="52" spans="2:19" ht="15">
      <c r="B52" s="97"/>
      <c r="C52" s="449"/>
      <c r="D52" s="158">
        <f t="shared" si="3"/>
      </c>
      <c r="E52" s="161">
        <f t="shared" si="13"/>
      </c>
      <c r="F52" s="161">
        <f t="shared" si="14"/>
      </c>
      <c r="G52" s="163">
        <f t="shared" si="15"/>
      </c>
      <c r="H52" s="158">
        <f t="shared" si="4"/>
      </c>
      <c r="I52" s="161">
        <f t="shared" si="5"/>
      </c>
      <c r="J52" s="161">
        <f t="shared" si="6"/>
      </c>
      <c r="K52" s="162">
        <f t="shared" si="16"/>
      </c>
      <c r="L52" s="158">
        <f t="shared" si="7"/>
      </c>
      <c r="M52" s="161">
        <f t="shared" si="8"/>
      </c>
      <c r="N52" s="161">
        <f t="shared" si="9"/>
      </c>
      <c r="O52" s="162">
        <f t="shared" si="1"/>
      </c>
      <c r="P52" s="158">
        <f t="shared" si="10"/>
      </c>
      <c r="Q52" s="161">
        <f t="shared" si="11"/>
      </c>
      <c r="R52" s="161">
        <f t="shared" si="12"/>
      </c>
      <c r="S52" s="162">
        <f t="shared" si="2"/>
      </c>
    </row>
    <row r="53" spans="2:19" ht="15.75" thickBot="1">
      <c r="B53" s="103"/>
      <c r="C53" s="457"/>
      <c r="D53" s="164">
        <f t="shared" si="3"/>
      </c>
      <c r="E53" s="165">
        <f t="shared" si="13"/>
      </c>
      <c r="F53" s="165">
        <f t="shared" si="14"/>
      </c>
      <c r="G53" s="166">
        <f>IF(D53="","",G52+$G$4)</f>
      </c>
      <c r="H53" s="164">
        <f t="shared" si="4"/>
      </c>
      <c r="I53" s="165">
        <f t="shared" si="5"/>
      </c>
      <c r="J53" s="165">
        <f t="shared" si="6"/>
      </c>
      <c r="K53" s="167">
        <f>IF(H53="","",K52+$G$4)</f>
      </c>
      <c r="L53" s="164">
        <f t="shared" si="7"/>
      </c>
      <c r="M53" s="165">
        <f t="shared" si="8"/>
      </c>
      <c r="N53" s="165">
        <f t="shared" si="9"/>
      </c>
      <c r="O53" s="167">
        <f>IF(L53="","",O52+$G$4)</f>
      </c>
      <c r="P53" s="164">
        <f t="shared" si="10"/>
      </c>
      <c r="Q53" s="165">
        <f t="shared" si="11"/>
      </c>
      <c r="R53" s="165">
        <f t="shared" si="12"/>
      </c>
      <c r="S53" s="167">
        <f>IF(P53="","",S52+$G$4)</f>
      </c>
    </row>
  </sheetData>
  <sheetProtection sheet="1" objects="1" scenarios="1"/>
  <conditionalFormatting sqref="C12">
    <cfRule type="expression" priority="1" dxfId="1" stopIfTrue="1">
      <formula>$C$13&lt;&gt;""</formula>
    </cfRule>
  </conditionalFormatting>
  <conditionalFormatting sqref="C13">
    <cfRule type="expression" priority="2" dxfId="1" stopIfTrue="1">
      <formula>$C$12&lt;&gt;""</formula>
    </cfRule>
  </conditionalFormatting>
  <conditionalFormatting sqref="C53">
    <cfRule type="expression" priority="3" dxfId="0" stopIfTrue="1">
      <formula>$C$13&gt;""</formula>
    </cfRule>
  </conditionalFormatting>
  <dataValidations count="2">
    <dataValidation type="custom" allowBlank="1" showInputMessage="1" showErrorMessage="1" errorTitle="Warning!!" error="The contents in the cell above must be empty before information can be entered in this cell." sqref="C13">
      <formula1>IF(C12&lt;&gt;"","",)</formula1>
    </dataValidation>
    <dataValidation type="custom" allowBlank="1" showInputMessage="1" showErrorMessage="1" errorTitle="Warning!!" error="The contents in the cell below must be empty before information can be entered in this cell." sqref="C12">
      <formula1>IF(C13&lt;&gt;"","",)</formula1>
    </dataValidation>
  </dataValidations>
  <printOptions horizontalCentered="1" verticalCentered="1"/>
  <pageMargins left="0.5" right="0.5" top="0.3" bottom="0.3" header="0.25" footer="0.25"/>
  <pageSetup blackAndWhite="1" fitToHeight="1" fitToWidth="1" horizontalDpi="180" verticalDpi="180" orientation="landscape" pageOrder="overThenDown" scale="68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11"/>
    <pageSetUpPr fitToPage="1"/>
  </sheetPr>
  <dimension ref="B1:J25"/>
  <sheetViews>
    <sheetView showGridLines="0" showRowColHeaders="0" zoomScale="75" zoomScaleNormal="75" zoomScalePageLayoutView="0" workbookViewId="0" topLeftCell="A1">
      <selection activeCell="E4" sqref="E4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9.77734375" style="0" customWidth="1"/>
    <col min="5" max="5" width="10.77734375" style="0" customWidth="1"/>
    <col min="6" max="6" width="8.3359375" style="0" customWidth="1"/>
    <col min="7" max="7" width="9.77734375" style="0" customWidth="1"/>
    <col min="8" max="8" width="5.3359375" style="0" customWidth="1"/>
    <col min="9" max="10" width="10.77734375" style="0" customWidth="1"/>
    <col min="11" max="16384" width="8.88671875" customWidth="1"/>
  </cols>
  <sheetData>
    <row r="1" spans="2:10" ht="24" thickTop="1">
      <c r="B1" s="7" t="s">
        <v>281</v>
      </c>
      <c r="C1" s="25"/>
      <c r="D1" s="25"/>
      <c r="E1" s="25"/>
      <c r="F1" s="25"/>
      <c r="G1" s="25"/>
      <c r="H1" s="25"/>
      <c r="I1" s="25"/>
      <c r="J1" s="26"/>
    </row>
    <row r="2" spans="2:10" ht="15.75">
      <c r="B2" s="10" t="s">
        <v>282</v>
      </c>
      <c r="C2" s="12"/>
      <c r="D2" s="11"/>
      <c r="E2" s="11"/>
      <c r="F2" s="11"/>
      <c r="G2" s="11"/>
      <c r="H2" s="11"/>
      <c r="I2" s="11"/>
      <c r="J2" s="13"/>
    </row>
    <row r="3" spans="2:10" ht="9.75" customHeight="1">
      <c r="B3" s="49"/>
      <c r="C3" s="11"/>
      <c r="D3" s="11"/>
      <c r="E3" s="11"/>
      <c r="F3" s="11"/>
      <c r="G3" s="11"/>
      <c r="H3" s="11"/>
      <c r="I3" s="11"/>
      <c r="J3" s="13"/>
    </row>
    <row r="4" spans="2:10" ht="15">
      <c r="B4" s="29"/>
      <c r="C4" s="18"/>
      <c r="D4" s="38" t="s">
        <v>283</v>
      </c>
      <c r="E4" s="2"/>
      <c r="F4" s="18"/>
      <c r="G4" s="150" t="s">
        <v>90</v>
      </c>
      <c r="H4" s="150" t="s">
        <v>284</v>
      </c>
      <c r="I4" s="150" t="s">
        <v>285</v>
      </c>
      <c r="J4" s="151" t="s">
        <v>286</v>
      </c>
    </row>
    <row r="5" spans="2:10" ht="15">
      <c r="B5" s="29"/>
      <c r="C5" s="18"/>
      <c r="D5" s="38" t="s">
        <v>287</v>
      </c>
      <c r="E5" s="2"/>
      <c r="F5" s="18"/>
      <c r="G5" s="50">
        <f>IF(H5="","",$E$6*H5)</f>
      </c>
      <c r="H5" s="50">
        <f>IF(E6="","",1)</f>
      </c>
      <c r="I5" s="80">
        <f aca="true" t="shared" si="0" ref="I5:I19">IF(H5="","",((COS(($E$6*H5)/180*PI())*$E$4)+(SIN(($E$6*H5)/180*PI())*$E$5))+$E$8)</f>
      </c>
      <c r="J5" s="153">
        <f aca="true" t="shared" si="1" ref="J5:J19">IF(H5="","",((COS(($E$6*H5)/180*PI())*$E$5)-(SIN(($E$6*H5)/180*PI())*$E$4))+$E$9)</f>
      </c>
    </row>
    <row r="6" spans="2:10" ht="15">
      <c r="B6" s="29"/>
      <c r="C6" s="18"/>
      <c r="D6" s="38" t="s">
        <v>288</v>
      </c>
      <c r="E6" s="3"/>
      <c r="F6" s="50"/>
      <c r="G6" s="50">
        <f aca="true" t="shared" si="2" ref="G6:G19">IF(H6="","",$E$6*H6)</f>
      </c>
      <c r="H6" s="152">
        <f aca="true" t="shared" si="3" ref="H6:H19">IF(H5=ABS($E$7),"",IF(H5="","",H5+1))</f>
      </c>
      <c r="I6" s="80">
        <f t="shared" si="0"/>
      </c>
      <c r="J6" s="153">
        <f t="shared" si="1"/>
      </c>
    </row>
    <row r="7" spans="2:10" ht="15">
      <c r="B7" s="29"/>
      <c r="C7" s="18"/>
      <c r="D7" s="38" t="s">
        <v>289</v>
      </c>
      <c r="E7" s="3">
        <v>1</v>
      </c>
      <c r="F7" s="50" t="s">
        <v>290</v>
      </c>
      <c r="G7" s="50">
        <f t="shared" si="2"/>
      </c>
      <c r="H7" s="152">
        <f t="shared" si="3"/>
      </c>
      <c r="I7" s="80">
        <f t="shared" si="0"/>
      </c>
      <c r="J7" s="153">
        <f t="shared" si="1"/>
      </c>
    </row>
    <row r="8" spans="2:10" ht="15">
      <c r="B8" s="29"/>
      <c r="C8" s="18"/>
      <c r="D8" s="38" t="s">
        <v>291</v>
      </c>
      <c r="E8" s="2">
        <v>0</v>
      </c>
      <c r="F8" s="18"/>
      <c r="G8" s="50">
        <f t="shared" si="2"/>
      </c>
      <c r="H8" s="152">
        <f t="shared" si="3"/>
      </c>
      <c r="I8" s="80">
        <f t="shared" si="0"/>
      </c>
      <c r="J8" s="153">
        <f t="shared" si="1"/>
      </c>
    </row>
    <row r="9" spans="2:10" ht="15">
      <c r="B9" s="29"/>
      <c r="C9" s="18"/>
      <c r="D9" s="38" t="s">
        <v>292</v>
      </c>
      <c r="E9" s="2">
        <v>0</v>
      </c>
      <c r="F9" s="18"/>
      <c r="G9" s="50">
        <f t="shared" si="2"/>
      </c>
      <c r="H9" s="152">
        <f t="shared" si="3"/>
      </c>
      <c r="I9" s="80">
        <f t="shared" si="0"/>
      </c>
      <c r="J9" s="153">
        <f t="shared" si="1"/>
      </c>
    </row>
    <row r="10" spans="2:10" ht="13.5" customHeight="1">
      <c r="B10" s="29"/>
      <c r="C10" s="18"/>
      <c r="D10" s="11" t="s">
        <v>293</v>
      </c>
      <c r="E10" s="11"/>
      <c r="F10" s="18"/>
      <c r="G10" s="50">
        <f t="shared" si="2"/>
      </c>
      <c r="H10" s="152">
        <f t="shared" si="3"/>
      </c>
      <c r="I10" s="80">
        <f t="shared" si="0"/>
      </c>
      <c r="J10" s="153">
        <f t="shared" si="1"/>
      </c>
    </row>
    <row r="11" spans="2:10" ht="15">
      <c r="B11" s="29"/>
      <c r="C11" s="18"/>
      <c r="D11" s="18"/>
      <c r="E11" s="18"/>
      <c r="F11" s="18"/>
      <c r="G11" s="50">
        <f t="shared" si="2"/>
      </c>
      <c r="H11" s="152">
        <f t="shared" si="3"/>
      </c>
      <c r="I11" s="80">
        <f t="shared" si="0"/>
      </c>
      <c r="J11" s="153">
        <f t="shared" si="1"/>
      </c>
    </row>
    <row r="12" spans="2:10" ht="15">
      <c r="B12" s="154" t="s">
        <v>294</v>
      </c>
      <c r="C12" s="18"/>
      <c r="D12" s="18"/>
      <c r="E12" s="18"/>
      <c r="F12" s="18"/>
      <c r="G12" s="50">
        <f t="shared" si="2"/>
      </c>
      <c r="H12" s="152">
        <f t="shared" si="3"/>
      </c>
      <c r="I12" s="80">
        <f t="shared" si="0"/>
      </c>
      <c r="J12" s="153">
        <f t="shared" si="1"/>
      </c>
    </row>
    <row r="13" spans="2:10" ht="15">
      <c r="B13" s="155" t="s">
        <v>295</v>
      </c>
      <c r="C13" s="18"/>
      <c r="D13" s="38" t="s">
        <v>296</v>
      </c>
      <c r="E13" s="15" t="s">
        <v>297</v>
      </c>
      <c r="F13" s="18"/>
      <c r="G13" s="50">
        <f t="shared" si="2"/>
      </c>
      <c r="H13" s="152">
        <f t="shared" si="3"/>
      </c>
      <c r="I13" s="80">
        <f t="shared" si="0"/>
      </c>
      <c r="J13" s="153">
        <f t="shared" si="1"/>
      </c>
    </row>
    <row r="14" spans="2:10" ht="15">
      <c r="B14" s="155" t="s">
        <v>298</v>
      </c>
      <c r="C14" s="38" t="s">
        <v>299</v>
      </c>
      <c r="D14" s="38" t="s">
        <v>300</v>
      </c>
      <c r="E14" s="15" t="s">
        <v>301</v>
      </c>
      <c r="F14" s="18" t="s">
        <v>302</v>
      </c>
      <c r="G14" s="50">
        <f t="shared" si="2"/>
      </c>
      <c r="H14" s="152">
        <f t="shared" si="3"/>
      </c>
      <c r="I14" s="80">
        <f t="shared" si="0"/>
      </c>
      <c r="J14" s="153">
        <f t="shared" si="1"/>
      </c>
    </row>
    <row r="15" spans="2:10" ht="15">
      <c r="B15" s="155" t="s">
        <v>303</v>
      </c>
      <c r="C15" s="38" t="s">
        <v>304</v>
      </c>
      <c r="D15" s="18"/>
      <c r="E15" s="18"/>
      <c r="F15" s="18" t="s">
        <v>305</v>
      </c>
      <c r="G15" s="50">
        <f t="shared" si="2"/>
      </c>
      <c r="H15" s="152">
        <f t="shared" si="3"/>
      </c>
      <c r="I15" s="80">
        <f t="shared" si="0"/>
      </c>
      <c r="J15" s="153">
        <f t="shared" si="1"/>
      </c>
    </row>
    <row r="16" spans="2:10" ht="15">
      <c r="B16" s="155" t="s">
        <v>306</v>
      </c>
      <c r="C16" s="38" t="s">
        <v>307</v>
      </c>
      <c r="D16" s="38" t="s">
        <v>296</v>
      </c>
      <c r="E16" s="15" t="s">
        <v>297</v>
      </c>
      <c r="F16" s="15" t="s">
        <v>308</v>
      </c>
      <c r="G16" s="50">
        <f t="shared" si="2"/>
      </c>
      <c r="H16" s="152">
        <f t="shared" si="3"/>
      </c>
      <c r="I16" s="80">
        <f t="shared" si="0"/>
      </c>
      <c r="J16" s="153">
        <f t="shared" si="1"/>
      </c>
    </row>
    <row r="17" spans="2:10" ht="15">
      <c r="B17" s="155" t="s">
        <v>309</v>
      </c>
      <c r="C17" s="150"/>
      <c r="D17" s="38" t="s">
        <v>310</v>
      </c>
      <c r="E17" s="15" t="s">
        <v>311</v>
      </c>
      <c r="F17" s="127"/>
      <c r="G17" s="50">
        <f t="shared" si="2"/>
      </c>
      <c r="H17" s="152">
        <f t="shared" si="3"/>
      </c>
      <c r="I17" s="80">
        <f t="shared" si="0"/>
      </c>
      <c r="J17" s="153">
        <f t="shared" si="1"/>
      </c>
    </row>
    <row r="18" spans="2:10" ht="15">
      <c r="B18" s="155" t="s">
        <v>312</v>
      </c>
      <c r="C18" s="18"/>
      <c r="D18" s="18"/>
      <c r="E18" s="18"/>
      <c r="F18" s="18"/>
      <c r="G18" s="50">
        <f t="shared" si="2"/>
      </c>
      <c r="H18" s="152">
        <f t="shared" si="3"/>
      </c>
      <c r="I18" s="80">
        <f t="shared" si="0"/>
      </c>
      <c r="J18" s="153">
        <f t="shared" si="1"/>
      </c>
    </row>
    <row r="19" spans="2:10" ht="15">
      <c r="B19" s="155" t="s">
        <v>313</v>
      </c>
      <c r="C19" s="18"/>
      <c r="D19" s="18"/>
      <c r="E19" s="18"/>
      <c r="F19" s="18"/>
      <c r="G19" s="50">
        <f t="shared" si="2"/>
      </c>
      <c r="H19" s="152">
        <f t="shared" si="3"/>
      </c>
      <c r="I19" s="80">
        <f t="shared" si="0"/>
      </c>
      <c r="J19" s="153">
        <f t="shared" si="1"/>
      </c>
    </row>
    <row r="20" spans="2:10" ht="15">
      <c r="B20" s="155" t="s">
        <v>314</v>
      </c>
      <c r="C20" s="18"/>
      <c r="D20" s="11" t="s">
        <v>293</v>
      </c>
      <c r="E20" s="11"/>
      <c r="F20" s="18"/>
      <c r="G20" s="15">
        <f>IF(E7&gt;15,"15 is the maximum times rotated.","")</f>
      </c>
      <c r="H20" s="18"/>
      <c r="I20" s="18"/>
      <c r="J20" s="19"/>
    </row>
    <row r="21" spans="2:10" ht="15.75" thickBot="1">
      <c r="B21" s="30"/>
      <c r="C21" s="21"/>
      <c r="D21" s="21"/>
      <c r="E21" s="21"/>
      <c r="F21" s="21"/>
      <c r="G21" s="21"/>
      <c r="H21" s="21"/>
      <c r="I21" s="21"/>
      <c r="J21" s="24"/>
    </row>
    <row r="22" ht="15.75" thickTop="1"/>
    <row r="25" ht="15">
      <c r="G25" s="1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landscape" pageOrder="overThenDown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K26"/>
  <sheetViews>
    <sheetView showGridLines="0" showRowColHeaders="0" zoomScale="75" zoomScaleNormal="75" zoomScalePageLayoutView="0" workbookViewId="0" topLeftCell="A1">
      <selection activeCell="N38" sqref="N38"/>
    </sheetView>
  </sheetViews>
  <sheetFormatPr defaultColWidth="8.88671875" defaultRowHeight="15"/>
  <cols>
    <col min="1" max="1" width="17.99609375" style="268" customWidth="1"/>
    <col min="2" max="2" width="7.5546875" style="268" customWidth="1"/>
    <col min="3" max="3" width="1.33203125" style="268" customWidth="1"/>
    <col min="4" max="11" width="7.5546875" style="268" customWidth="1"/>
    <col min="12" max="16384" width="8.88671875" style="268" customWidth="1"/>
  </cols>
  <sheetData>
    <row r="1" spans="1:11" ht="23.25">
      <c r="A1" s="265" t="s">
        <v>315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">
      <c r="A2" s="269" t="s">
        <v>316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5">
      <c r="A3" s="269" t="s">
        <v>317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12.75">
      <c r="A4" s="272"/>
      <c r="B4" s="273"/>
      <c r="C4" s="273"/>
      <c r="D4" s="274"/>
      <c r="E4" s="274"/>
      <c r="F4" s="273"/>
      <c r="G4" s="274"/>
      <c r="H4" s="273"/>
      <c r="I4" s="274"/>
      <c r="J4" s="274"/>
      <c r="K4" s="275"/>
    </row>
    <row r="5" spans="1:11" ht="12.75">
      <c r="A5" s="272"/>
      <c r="B5" s="273"/>
      <c r="C5" s="273"/>
      <c r="D5" s="276" t="s">
        <v>318</v>
      </c>
      <c r="E5" s="277" t="s">
        <v>319</v>
      </c>
      <c r="F5" s="276" t="s">
        <v>320</v>
      </c>
      <c r="G5" s="277" t="s">
        <v>320</v>
      </c>
      <c r="H5" s="278" t="s">
        <v>318</v>
      </c>
      <c r="I5" s="277" t="s">
        <v>319</v>
      </c>
      <c r="J5" s="276" t="s">
        <v>321</v>
      </c>
      <c r="K5" s="279" t="s">
        <v>321</v>
      </c>
    </row>
    <row r="6" spans="1:11" ht="12.75">
      <c r="A6" s="272"/>
      <c r="B6" s="273"/>
      <c r="C6" s="273"/>
      <c r="D6" s="280" t="s">
        <v>322</v>
      </c>
      <c r="E6" s="281" t="s">
        <v>322</v>
      </c>
      <c r="F6" s="280" t="s">
        <v>323</v>
      </c>
      <c r="G6" s="281" t="s">
        <v>324</v>
      </c>
      <c r="H6" s="282" t="s">
        <v>128</v>
      </c>
      <c r="I6" s="281" t="s">
        <v>128</v>
      </c>
      <c r="J6" s="292" t="s">
        <v>325</v>
      </c>
      <c r="K6" s="283" t="s">
        <v>323</v>
      </c>
    </row>
    <row r="7" spans="1:11" ht="15">
      <c r="A7" s="284" t="s">
        <v>326</v>
      </c>
      <c r="B7" s="285"/>
      <c r="C7" s="273"/>
      <c r="D7" s="276"/>
      <c r="E7" s="277"/>
      <c r="F7" s="276"/>
      <c r="G7" s="277"/>
      <c r="H7" s="278"/>
      <c r="I7" s="277"/>
      <c r="J7" s="276"/>
      <c r="K7" s="279"/>
    </row>
    <row r="8" spans="1:11" ht="15">
      <c r="A8" s="284" t="s">
        <v>327</v>
      </c>
      <c r="B8" s="285"/>
      <c r="C8" s="273"/>
      <c r="D8" s="276">
        <f>IF(OR(B7="",B9=""),"",B7/2*(1/(COS(B9/180*PI()))))</f>
      </c>
      <c r="E8" s="277">
        <f>IF(OR(B8="",B9=""),"",B8/2*(1/(COS(B9/180*PI()))))</f>
      </c>
      <c r="F8" s="276">
        <f>IF(OR(B7="",D8=""),"",(((57.296*(B7*PI()))/D8)*(B12/360))+B13)</f>
      </c>
      <c r="G8" s="277">
        <f>IF(OR(B7="",B8="",B9=""),"",(B8-B7)/2/COS((B9)/180*PI()))</f>
      </c>
      <c r="H8" s="278">
        <f>IF(OR(B8="",B9="",B11=""),"",B8-(2*(B11*COS((B9)/180*PI()))))</f>
      </c>
      <c r="I8" s="277">
        <f>IF(OR(B9="",B11="",B7=""),"",(2*(B11*COS((B9)/180*PI())))+B7)</f>
      </c>
      <c r="J8" s="276">
        <f>IF(OR(G8="",B9=""),"",(G8*SIN((B9)/180*PI())))</f>
      </c>
      <c r="K8" s="279">
        <f>IF(OR(G9="",B10=""),"",ASIN(SUM(B10/G9))*180/PI())</f>
      </c>
    </row>
    <row r="9" spans="1:11" ht="15">
      <c r="A9" s="284" t="s">
        <v>328</v>
      </c>
      <c r="B9" s="285"/>
      <c r="C9" s="274"/>
      <c r="D9" s="276">
        <f>IF(OR(B7="",K8=""),"",B7/2*(1/(COS(K8/180*PI()))))</f>
      </c>
      <c r="E9" s="277">
        <f>IF(OR(B8="",K8=""),"",B8/2*(1/(COS(K8/180*PI()))))</f>
      </c>
      <c r="F9" s="276">
        <f>IF(OR(B7="",D9=""),"",(((57.296*(B7*PI()))/D9)*(B12/360))+B13)</f>
      </c>
      <c r="G9" s="277">
        <f>IF(OR(B7="",B8="",B10=""),"",(SQRT(((B8-B7)/2)*((B8-B7)/2)+(B10*B10))))</f>
      </c>
      <c r="H9" s="278">
        <f>IF(OR(B8="",K9="",B11=""),"",B8-(2*(B11*COS((K9)/180*PI()))))</f>
      </c>
      <c r="I9" s="277">
        <f>IF(OR(B9="",G10="",B7=""),"",(2*(G10*COS((B9)/180*PI())))+B7)</f>
      </c>
      <c r="J9" s="276">
        <f>IF(OR(B11="",B9=""),"",(B11*SIN((B9)/180*PI())))</f>
      </c>
      <c r="K9" s="279">
        <f>IF(OR(B10="",B11=""),"",ASIN(SUM(B10/B11))*180/PI())</f>
      </c>
    </row>
    <row r="10" spans="1:11" ht="15">
      <c r="A10" s="293" t="s">
        <v>329</v>
      </c>
      <c r="B10" s="285"/>
      <c r="C10" s="273"/>
      <c r="D10" s="276">
        <f>IF(OR(E8="",G10=""),"",E8-G10)</f>
      </c>
      <c r="E10" s="277">
        <f>IF(OR(D8="",G10=""),"",D8+G10)</f>
      </c>
      <c r="F10" s="276">
        <f>IF(OR(B7="",D12=""),"",(((57.296*(B7*PI()))/D12)*(B12/360))+B13)</f>
      </c>
      <c r="G10" s="277">
        <f>IF(OR(B9="",B10=""),"",SUM(B10/SIN((B9)/180*PI())))</f>
      </c>
      <c r="H10" s="278">
        <f>IF(OR(B8="",B9="",G10=""),"",B8-(2*(G10*COS((B9)/180*PI()))))</f>
      </c>
      <c r="I10" s="277">
        <f>IF(OR(K9="",B11="",B7=""),"",(2*(B11*COS((K9)/180*PI())))+B7)</f>
      </c>
      <c r="J10" s="276"/>
      <c r="K10" s="286"/>
    </row>
    <row r="11" spans="1:11" ht="15">
      <c r="A11" s="284" t="s">
        <v>330</v>
      </c>
      <c r="B11" s="285"/>
      <c r="C11" s="273"/>
      <c r="D11" s="276">
        <f>IF(OR(E11="",B11=""),"",E11-B11)</f>
      </c>
      <c r="E11" s="277">
        <f>IF(OR(B8="",K9=""),"",B8/2*(1/(COS(K9/180*PI()))))</f>
      </c>
      <c r="F11" s="276">
        <f>IF(OR(H9="",D11=""),"",(((57.296*(H9*PI()))/D11)*(B12/360))+B13)</f>
      </c>
      <c r="G11" s="277"/>
      <c r="H11" s="287"/>
      <c r="I11" s="277"/>
      <c r="J11" s="276"/>
      <c r="K11" s="286"/>
    </row>
    <row r="12" spans="1:11" ht="15">
      <c r="A12" s="284" t="s">
        <v>331</v>
      </c>
      <c r="B12" s="285">
        <v>360</v>
      </c>
      <c r="C12" s="273"/>
      <c r="D12" s="276">
        <f>IF(OR(B7="",K9=""),"",B7/2*(1/(COS(K9/180*PI()))))</f>
      </c>
      <c r="E12" s="277">
        <f>IF(OR(I10="",K9=""),"",I10/2*(1/(COS(K9/180*PI()))))</f>
      </c>
      <c r="F12" s="276">
        <f>IF(OR(H10="",D10=""),"",(((57.296*(H10*PI()))/D10)*(B12/360))+B13)</f>
      </c>
      <c r="G12" s="277"/>
      <c r="H12" s="278"/>
      <c r="I12" s="277"/>
      <c r="J12" s="276"/>
      <c r="K12" s="286"/>
    </row>
    <row r="13" spans="1:11" ht="15">
      <c r="A13" s="284" t="s">
        <v>332</v>
      </c>
      <c r="B13" s="285">
        <v>0</v>
      </c>
      <c r="C13" s="273"/>
      <c r="D13" s="276">
        <f>IF(OR(H8="",B9=""),"",H8/2*(1/(COS(B9/180*PI()))))</f>
      </c>
      <c r="E13" s="277">
        <f>IF(OR(I8="",B9=""),"",I8/2*(1/(COS(B9/180*PI()))))</f>
      </c>
      <c r="F13" s="276">
        <f>IF(OR(H8="",D13=""),"",(((57.296*(H8*PI()))/D13)*(B12/360))+B13)</f>
      </c>
      <c r="G13" s="277"/>
      <c r="H13" s="278"/>
      <c r="I13" s="277"/>
      <c r="J13" s="276"/>
      <c r="K13" s="286"/>
    </row>
    <row r="14" spans="1:11" ht="12.75">
      <c r="A14" s="272"/>
      <c r="B14" s="274"/>
      <c r="C14" s="274"/>
      <c r="D14" s="273"/>
      <c r="E14" s="273"/>
      <c r="F14" s="273"/>
      <c r="G14" s="273"/>
      <c r="H14" s="273"/>
      <c r="I14" s="273"/>
      <c r="J14" s="273"/>
      <c r="K14" s="275"/>
    </row>
    <row r="15" spans="1:11" ht="12.75">
      <c r="A15" s="272"/>
      <c r="B15" s="274"/>
      <c r="C15" s="274"/>
      <c r="D15" s="274"/>
      <c r="E15" s="270"/>
      <c r="F15" s="270"/>
      <c r="G15" s="274"/>
      <c r="H15" s="274"/>
      <c r="I15" s="274"/>
      <c r="J15" s="270"/>
      <c r="K15" s="271"/>
    </row>
    <row r="16" spans="1:11" ht="12.75">
      <c r="A16" s="272"/>
      <c r="B16" s="274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1:11" ht="12.75">
      <c r="A17" s="272"/>
      <c r="B17" s="274"/>
      <c r="C17" s="274"/>
      <c r="D17" s="274"/>
      <c r="E17" s="288"/>
      <c r="F17" s="274"/>
      <c r="G17" s="274"/>
      <c r="H17" s="274"/>
      <c r="I17" s="274"/>
      <c r="J17" s="274"/>
      <c r="K17" s="275"/>
    </row>
    <row r="18" spans="1:11" ht="12.75">
      <c r="A18" s="284"/>
      <c r="B18" s="274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1:11" ht="12.75">
      <c r="A19" s="284"/>
      <c r="B19" s="274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1:11" ht="12.75">
      <c r="A20" s="284"/>
      <c r="B20" s="274"/>
      <c r="C20" s="274"/>
      <c r="D20" s="274"/>
      <c r="E20" s="274"/>
      <c r="F20" s="274"/>
      <c r="G20" s="274"/>
      <c r="H20" s="274"/>
      <c r="I20" s="274"/>
      <c r="J20" s="274"/>
      <c r="K20" s="275"/>
    </row>
    <row r="21" spans="1:11" ht="12.75">
      <c r="A21" s="284"/>
      <c r="B21" s="274"/>
      <c r="C21" s="274"/>
      <c r="D21" s="274"/>
      <c r="E21" s="274"/>
      <c r="F21" s="274"/>
      <c r="G21" s="274"/>
      <c r="H21" s="274"/>
      <c r="I21" s="274"/>
      <c r="J21" s="270"/>
      <c r="K21" s="271"/>
    </row>
    <row r="22" spans="1:11" ht="12.75">
      <c r="A22" s="272"/>
      <c r="B22" s="274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1:11" ht="12.75">
      <c r="A23" s="272"/>
      <c r="B23" s="274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1:11" ht="12.75">
      <c r="A24" s="272"/>
      <c r="B24" s="274"/>
      <c r="C24" s="274"/>
      <c r="D24" s="274"/>
      <c r="E24" s="274"/>
      <c r="F24" s="274"/>
      <c r="G24" s="274"/>
      <c r="H24" s="274"/>
      <c r="I24" s="274"/>
      <c r="J24" s="274"/>
      <c r="K24" s="275"/>
    </row>
    <row r="25" spans="1:11" ht="12.75">
      <c r="A25" s="272"/>
      <c r="B25" s="274"/>
      <c r="C25" s="274"/>
      <c r="D25" s="274"/>
      <c r="E25" s="274"/>
      <c r="F25" s="274"/>
      <c r="G25" s="274"/>
      <c r="H25" s="274"/>
      <c r="I25" s="274"/>
      <c r="J25" s="274"/>
      <c r="K25" s="275"/>
    </row>
    <row r="26" spans="1:11" ht="13.5" thickBo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1"/>
    </row>
  </sheetData>
  <sheetProtection sheet="1" objects="1" scenarios="1"/>
  <printOptions horizontalCentered="1" verticalCentered="1"/>
  <pageMargins left="0.5" right="0.5" top="1" bottom="1" header="0.5" footer="0.5"/>
  <pageSetup blackAndWhite="1"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34"/>
  </sheetPr>
  <dimension ref="B1:J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11.77734375" style="0" customWidth="1"/>
    <col min="5" max="5" width="5.77734375" style="0" customWidth="1"/>
    <col min="6" max="9" width="9.77734375" style="0" customWidth="1"/>
    <col min="10" max="10" width="4.77734375" style="0" customWidth="1"/>
  </cols>
  <sheetData>
    <row r="1" spans="2:10" ht="24" thickTop="1">
      <c r="B1" s="7" t="s">
        <v>333</v>
      </c>
      <c r="C1" s="8"/>
      <c r="D1" s="8"/>
      <c r="E1" s="8"/>
      <c r="F1" s="8"/>
      <c r="G1" s="8"/>
      <c r="H1" s="8"/>
      <c r="I1" s="8"/>
      <c r="J1" s="9"/>
    </row>
    <row r="2" spans="2:10" ht="15">
      <c r="B2" s="49" t="s">
        <v>334</v>
      </c>
      <c r="C2" s="11"/>
      <c r="D2" s="11"/>
      <c r="E2" s="11"/>
      <c r="F2" s="11"/>
      <c r="G2" s="11"/>
      <c r="H2" s="11"/>
      <c r="I2" s="11"/>
      <c r="J2" s="13"/>
    </row>
    <row r="3" spans="2:10" ht="15">
      <c r="B3" s="29"/>
      <c r="C3" s="18"/>
      <c r="D3" s="18"/>
      <c r="E3" s="18"/>
      <c r="F3" s="18"/>
      <c r="G3" s="18"/>
      <c r="H3" s="18"/>
      <c r="I3" s="18"/>
      <c r="J3" s="19"/>
    </row>
    <row r="4" spans="2:10" ht="15">
      <c r="B4" s="29"/>
      <c r="C4" s="18"/>
      <c r="D4" s="18"/>
      <c r="E4" s="18"/>
      <c r="F4" s="50" t="s">
        <v>98</v>
      </c>
      <c r="G4" s="50" t="s">
        <v>100</v>
      </c>
      <c r="H4" s="50" t="s">
        <v>335</v>
      </c>
      <c r="I4" s="50" t="s">
        <v>336</v>
      </c>
      <c r="J4" s="19"/>
    </row>
    <row r="5" spans="2:10" ht="15">
      <c r="B5" s="52" t="s">
        <v>337</v>
      </c>
      <c r="C5" s="38" t="s">
        <v>338</v>
      </c>
      <c r="D5" s="3"/>
      <c r="E5" s="18"/>
      <c r="F5" s="18">
        <f>IF(OR(D6="",D8=""),"",(ASIN(SUM((D6*0.5)/D8))*180/PI())*2)</f>
      </c>
      <c r="G5" s="18">
        <f>IF(OR(D7="",D8=""),"",SUM(2*SQRT(D7*(2*D8-D7))))</f>
      </c>
      <c r="H5" s="18">
        <f>IF(OR(D6="",D8=""),"",SUM(D8-(0.5*SQRT((4*(D8*D8)-(D6*D6))))))</f>
      </c>
      <c r="I5" s="18">
        <f>IF(OR(D6="",D7=""),"",(SUM(D6*D6)+4*(D7*D7))/(8*D7))</f>
      </c>
      <c r="J5" s="19"/>
    </row>
    <row r="6" spans="2:10" ht="15">
      <c r="B6" s="52" t="s">
        <v>339</v>
      </c>
      <c r="C6" s="38" t="s">
        <v>340</v>
      </c>
      <c r="D6" s="3"/>
      <c r="E6" s="18"/>
      <c r="F6" s="18">
        <f>IF(OR(D7="",D8=""),"",(ASIN(SUM((G5*0.5)/D8))*180/PI())*2)</f>
      </c>
      <c r="G6" s="18">
        <f>IF(OR(D5="",D8=""),"",SUM(2*SQRT(H6*(2*D8-H6))))</f>
      </c>
      <c r="H6" s="18">
        <f>IF(OR(D5="",D8=""),"",SUM(D8*(1-COS((D5/180*PI())*0.5))))</f>
      </c>
      <c r="I6" s="18">
        <f>IF(OR(D5="",D6=""),"",SUM((D6*0.5)/SIN((D5*0.5)/180*PI())))</f>
      </c>
      <c r="J6" s="19"/>
    </row>
    <row r="7" spans="2:10" ht="15">
      <c r="B7" s="52" t="s">
        <v>341</v>
      </c>
      <c r="C7" s="38" t="s">
        <v>342</v>
      </c>
      <c r="D7" s="3"/>
      <c r="E7" s="18"/>
      <c r="F7" s="18">
        <f>IF(OR(D6="",D7=""),"",(ASIN(SUM((D6*0.5)/I5))*180/PI())*2)</f>
      </c>
      <c r="G7" s="18"/>
      <c r="H7" s="18">
        <f>IF(OR(D5="",D6=""),"",SUM(I6-(0.5*SQRT((4*(I6*I6)-(D6*D6))))))</f>
      </c>
      <c r="I7" s="18"/>
      <c r="J7" s="19"/>
    </row>
    <row r="8" spans="2:10" ht="15">
      <c r="B8" s="52" t="s">
        <v>322</v>
      </c>
      <c r="C8" s="38" t="s">
        <v>343</v>
      </c>
      <c r="D8" s="3"/>
      <c r="E8" s="18">
        <f>IF(OR(D5="",D7=""),""," This will not work with these two knowns.")</f>
      </c>
      <c r="F8" s="18"/>
      <c r="G8" s="18"/>
      <c r="H8" s="18"/>
      <c r="I8" s="18"/>
      <c r="J8" s="19"/>
    </row>
    <row r="9" spans="2:10" ht="15">
      <c r="B9" s="29"/>
      <c r="C9" s="18"/>
      <c r="D9" s="18"/>
      <c r="E9" s="18"/>
      <c r="F9" s="18"/>
      <c r="G9" s="18"/>
      <c r="H9" s="18"/>
      <c r="I9" s="18"/>
      <c r="J9" s="19"/>
    </row>
    <row r="10" spans="2:10" ht="15">
      <c r="B10" s="29"/>
      <c r="C10" s="18"/>
      <c r="D10" s="18"/>
      <c r="E10" s="18"/>
      <c r="F10" s="18"/>
      <c r="G10" s="18"/>
      <c r="H10" s="50" t="s">
        <v>100</v>
      </c>
      <c r="I10" s="18"/>
      <c r="J10" s="19"/>
    </row>
    <row r="11" spans="2:10" ht="15">
      <c r="B11" s="29"/>
      <c r="C11" s="18"/>
      <c r="D11" s="18"/>
      <c r="E11" s="18"/>
      <c r="F11" s="18"/>
      <c r="G11" s="18"/>
      <c r="H11" s="18"/>
      <c r="I11" s="18"/>
      <c r="J11" s="19"/>
    </row>
    <row r="12" spans="2:10" ht="15">
      <c r="B12" s="29"/>
      <c r="C12" s="18"/>
      <c r="D12" s="18"/>
      <c r="E12" s="18"/>
      <c r="F12" s="18"/>
      <c r="G12" s="18"/>
      <c r="H12" s="55"/>
      <c r="I12" s="18"/>
      <c r="J12" s="19"/>
    </row>
    <row r="13" spans="2:10" ht="15">
      <c r="B13" s="29"/>
      <c r="C13" s="18"/>
      <c r="D13" s="18"/>
      <c r="E13" s="18"/>
      <c r="F13" s="18"/>
      <c r="G13" s="18"/>
      <c r="H13" s="18"/>
      <c r="I13" s="18"/>
      <c r="J13" s="19"/>
    </row>
    <row r="14" spans="2:10" ht="15">
      <c r="B14" s="29"/>
      <c r="C14" s="18"/>
      <c r="D14" s="18"/>
      <c r="E14" s="18"/>
      <c r="F14" s="18"/>
      <c r="G14" s="18"/>
      <c r="H14" s="18"/>
      <c r="I14" s="18"/>
      <c r="J14" s="19"/>
    </row>
    <row r="15" spans="2:10" ht="15">
      <c r="B15" s="29"/>
      <c r="C15" s="18"/>
      <c r="D15" s="18"/>
      <c r="E15" s="18"/>
      <c r="F15" s="18"/>
      <c r="G15" s="18"/>
      <c r="H15" s="50" t="s">
        <v>98</v>
      </c>
      <c r="I15" s="18" t="s">
        <v>336</v>
      </c>
      <c r="J15" s="19"/>
    </row>
    <row r="16" spans="2:10" ht="15">
      <c r="B16" s="29"/>
      <c r="C16" s="18"/>
      <c r="D16" s="18"/>
      <c r="E16" s="18"/>
      <c r="F16" s="18"/>
      <c r="G16" s="18"/>
      <c r="H16" s="50"/>
      <c r="I16" s="18"/>
      <c r="J16" s="19"/>
    </row>
    <row r="17" spans="2:10" ht="15">
      <c r="B17" s="29"/>
      <c r="C17" s="18"/>
      <c r="D17" s="18"/>
      <c r="E17" s="18"/>
      <c r="F17" s="18"/>
      <c r="G17" s="18"/>
      <c r="H17" s="50"/>
      <c r="I17" s="15"/>
      <c r="J17" s="19"/>
    </row>
    <row r="18" spans="2:10" ht="15">
      <c r="B18" s="29"/>
      <c r="C18" s="18"/>
      <c r="D18" s="18"/>
      <c r="E18" s="18"/>
      <c r="F18" s="18"/>
      <c r="G18" s="18"/>
      <c r="H18" s="50"/>
      <c r="I18" s="18"/>
      <c r="J18" s="19"/>
    </row>
    <row r="19" spans="2:10" ht="15">
      <c r="B19" s="29"/>
      <c r="C19" s="18"/>
      <c r="D19" s="18"/>
      <c r="E19" s="18"/>
      <c r="F19" s="18"/>
      <c r="G19" s="18"/>
      <c r="H19" s="18"/>
      <c r="I19" s="18"/>
      <c r="J19" s="19"/>
    </row>
    <row r="20" spans="2:10" ht="15.75" thickBot="1">
      <c r="B20" s="30"/>
      <c r="C20" s="21"/>
      <c r="D20" s="21"/>
      <c r="E20" s="21"/>
      <c r="F20" s="21"/>
      <c r="G20" s="21"/>
      <c r="H20" s="21"/>
      <c r="I20" s="21"/>
      <c r="J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H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7.77734375" style="0" customWidth="1"/>
    <col min="2" max="2" width="21.77734375" style="0" customWidth="1"/>
    <col min="3" max="3" width="5.77734375" style="0" customWidth="1"/>
    <col min="8" max="8" width="3.77734375" style="0" customWidth="1"/>
  </cols>
  <sheetData>
    <row r="1" spans="2:8" ht="24" thickTop="1">
      <c r="B1" s="7" t="s">
        <v>344</v>
      </c>
      <c r="C1" s="8"/>
      <c r="D1" s="8"/>
      <c r="E1" s="8"/>
      <c r="F1" s="8"/>
      <c r="G1" s="8"/>
      <c r="H1" s="56"/>
    </row>
    <row r="2" spans="2:8" ht="13.5" customHeight="1">
      <c r="B2" s="49" t="s">
        <v>345</v>
      </c>
      <c r="C2" s="11"/>
      <c r="D2" s="11"/>
      <c r="E2" s="11"/>
      <c r="F2" s="11"/>
      <c r="G2" s="11"/>
      <c r="H2" s="19"/>
    </row>
    <row r="3" spans="2:8" ht="13.5" customHeight="1">
      <c r="B3" s="29"/>
      <c r="C3" s="18"/>
      <c r="D3" s="18"/>
      <c r="E3" s="18"/>
      <c r="F3" s="18"/>
      <c r="G3" s="18"/>
      <c r="H3" s="19"/>
    </row>
    <row r="4" spans="2:8" ht="15">
      <c r="B4" s="29"/>
      <c r="C4" s="18"/>
      <c r="D4" s="18"/>
      <c r="E4" s="18"/>
      <c r="F4" s="50" t="s">
        <v>346</v>
      </c>
      <c r="G4" s="50" t="s">
        <v>347</v>
      </c>
      <c r="H4" s="19"/>
    </row>
    <row r="5" spans="2:8" ht="15">
      <c r="B5" s="52" t="s">
        <v>348</v>
      </c>
      <c r="C5" s="38" t="s">
        <v>349</v>
      </c>
      <c r="D5" s="3"/>
      <c r="E5" s="18"/>
      <c r="F5" s="51">
        <f>IF(OR(D5="",D7=""),"",SUM(((D7*0.5)*COS(((360/D5)*0.5)/180*PI())))*2)</f>
      </c>
      <c r="G5" s="51">
        <f>IF(OR(D5="",D6=""),"",SUM(((D6*0.5)/COS(((360/D5)*0.5)/180*PI())))*2)</f>
      </c>
      <c r="H5" s="19"/>
    </row>
    <row r="6" spans="2:8" ht="15">
      <c r="B6" s="52" t="s">
        <v>350</v>
      </c>
      <c r="C6" s="38" t="s">
        <v>351</v>
      </c>
      <c r="D6" s="3"/>
      <c r="E6" s="18">
        <f>IF(OR(D6="",D7=""),""," You can't enter both the IC and OC.")</f>
      </c>
      <c r="F6" s="18"/>
      <c r="G6" s="18"/>
      <c r="H6" s="19"/>
    </row>
    <row r="7" spans="2:8" ht="15">
      <c r="B7" s="52" t="s">
        <v>352</v>
      </c>
      <c r="C7" s="38" t="s">
        <v>353</v>
      </c>
      <c r="D7" s="3"/>
      <c r="E7" s="18">
        <f>IF(OR(D6="",D7=""),""," You must enter ES and one other.")</f>
      </c>
      <c r="F7" s="18"/>
      <c r="G7" s="18"/>
      <c r="H7" s="19"/>
    </row>
    <row r="8" spans="2:8" ht="15">
      <c r="B8" s="29"/>
      <c r="C8" s="18"/>
      <c r="D8" s="18"/>
      <c r="E8" s="18"/>
      <c r="F8" s="18"/>
      <c r="G8" s="18"/>
      <c r="H8" s="19"/>
    </row>
    <row r="9" spans="2:8" ht="15">
      <c r="B9" s="29"/>
      <c r="C9" s="18"/>
      <c r="D9" s="18"/>
      <c r="E9" s="18"/>
      <c r="F9" s="18"/>
      <c r="G9" s="18"/>
      <c r="H9" s="19"/>
    </row>
    <row r="10" spans="2:8" ht="15">
      <c r="B10" s="29"/>
      <c r="C10" s="18"/>
      <c r="D10" s="18"/>
      <c r="E10" s="18"/>
      <c r="F10" s="18"/>
      <c r="G10" s="18"/>
      <c r="H10" s="19"/>
    </row>
    <row r="11" spans="2:8" ht="15">
      <c r="B11" s="29"/>
      <c r="C11" s="18"/>
      <c r="D11" s="18"/>
      <c r="E11" s="18"/>
      <c r="F11" s="18"/>
      <c r="G11" s="18"/>
      <c r="H11" s="19"/>
    </row>
    <row r="12" spans="2:8" ht="15">
      <c r="B12" s="27" t="s">
        <v>294</v>
      </c>
      <c r="C12" s="57"/>
      <c r="D12" s="57"/>
      <c r="E12" s="18"/>
      <c r="F12" s="18"/>
      <c r="G12" s="18"/>
      <c r="H12" s="19"/>
    </row>
    <row r="13" spans="2:8" ht="15">
      <c r="B13" s="49" t="s">
        <v>354</v>
      </c>
      <c r="C13" s="11"/>
      <c r="D13" s="11"/>
      <c r="E13" s="18"/>
      <c r="F13" s="18"/>
      <c r="G13" s="18"/>
      <c r="H13" s="19"/>
    </row>
    <row r="14" spans="2:8" ht="15">
      <c r="B14" s="49" t="s">
        <v>355</v>
      </c>
      <c r="C14" s="11"/>
      <c r="D14" s="11"/>
      <c r="E14" s="18"/>
      <c r="F14" s="18" t="s">
        <v>346</v>
      </c>
      <c r="G14" s="18"/>
      <c r="H14" s="19"/>
    </row>
    <row r="15" spans="2:8" ht="15">
      <c r="B15" s="29"/>
      <c r="C15" s="18"/>
      <c r="D15" s="18"/>
      <c r="E15" s="18"/>
      <c r="F15" s="18"/>
      <c r="G15" s="18"/>
      <c r="H15" s="19"/>
    </row>
    <row r="16" spans="2:8" ht="15">
      <c r="B16" s="29"/>
      <c r="C16" s="18"/>
      <c r="D16" s="18"/>
      <c r="E16" s="18"/>
      <c r="F16" s="18"/>
      <c r="G16" s="18"/>
      <c r="H16" s="19"/>
    </row>
    <row r="17" spans="2:8" ht="15">
      <c r="B17" s="29"/>
      <c r="C17" s="18"/>
      <c r="D17" s="18"/>
      <c r="E17" s="18"/>
      <c r="F17" s="18"/>
      <c r="G17" s="18"/>
      <c r="H17" s="19"/>
    </row>
    <row r="18" spans="2:8" ht="15">
      <c r="B18" s="29"/>
      <c r="C18" s="18"/>
      <c r="D18" s="18"/>
      <c r="E18" s="18"/>
      <c r="F18" s="18"/>
      <c r="G18" s="18"/>
      <c r="H18" s="19"/>
    </row>
    <row r="19" spans="2:8" ht="15">
      <c r="B19" s="29"/>
      <c r="C19" s="18"/>
      <c r="D19" s="18"/>
      <c r="E19" s="18"/>
      <c r="F19" s="18"/>
      <c r="G19" s="18"/>
      <c r="H19" s="19"/>
    </row>
    <row r="20" spans="2:8" ht="15.75" thickBot="1">
      <c r="B20" s="30"/>
      <c r="C20" s="21"/>
      <c r="D20" s="21"/>
      <c r="E20" s="21"/>
      <c r="F20" s="21"/>
      <c r="G20" s="21"/>
      <c r="H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39"/>
  </sheetPr>
  <dimension ref="B2:H24"/>
  <sheetViews>
    <sheetView showGridLines="0" showRowColHeaders="0" zoomScale="75" zoomScaleNormal="75" zoomScalePageLayoutView="0" workbookViewId="0" topLeftCell="A1">
      <selection activeCell="L29" sqref="L29"/>
    </sheetView>
  </sheetViews>
  <sheetFormatPr defaultColWidth="9.77734375" defaultRowHeight="15"/>
  <cols>
    <col min="1" max="1" width="7.77734375" style="0" customWidth="1"/>
    <col min="2" max="2" width="14.77734375" style="0" customWidth="1"/>
    <col min="4" max="4" width="12.77734375" style="0" customWidth="1"/>
    <col min="8" max="8" width="10.77734375" style="0" customWidth="1"/>
  </cols>
  <sheetData>
    <row r="1" ht="15.75" thickBot="1"/>
    <row r="2" spans="2:8" ht="24" thickTop="1">
      <c r="B2" s="7" t="s">
        <v>356</v>
      </c>
      <c r="C2" s="25"/>
      <c r="D2" s="25"/>
      <c r="E2" s="25"/>
      <c r="F2" s="25"/>
      <c r="G2" s="25"/>
      <c r="H2" s="26"/>
    </row>
    <row r="3" spans="2:8" ht="15.75">
      <c r="B3" s="79" t="s">
        <v>357</v>
      </c>
      <c r="C3" s="11"/>
      <c r="D3" s="11"/>
      <c r="E3" s="11"/>
      <c r="F3" s="11"/>
      <c r="G3" s="11"/>
      <c r="H3" s="13"/>
    </row>
    <row r="4" spans="2:8" ht="15">
      <c r="B4" s="53">
        <f>IF(D4="","",+D4)</f>
        <v>3</v>
      </c>
      <c r="C4" s="50" t="s">
        <v>90</v>
      </c>
      <c r="D4" s="3">
        <v>3</v>
      </c>
      <c r="E4" s="138">
        <f>IF(D4+D5+D6="","",TRUNC(B4))</f>
        <v>3</v>
      </c>
      <c r="F4" s="15" t="s">
        <v>90</v>
      </c>
      <c r="G4" s="38" t="s">
        <v>358</v>
      </c>
      <c r="H4" s="17">
        <f>IF(D4+D5+D6="","",SIN(B7/180*PI()))</f>
        <v>0.05322192867613335</v>
      </c>
    </row>
    <row r="5" spans="2:8" ht="15">
      <c r="B5" s="53">
        <f>IF(D5="","",D5/60)</f>
        <v>0.05</v>
      </c>
      <c r="C5" s="50" t="s">
        <v>111</v>
      </c>
      <c r="D5" s="3">
        <v>3</v>
      </c>
      <c r="E5" s="18">
        <f>IF(D4+D5+D6="","",TRUNC((B7-E4)*60))</f>
        <v>3</v>
      </c>
      <c r="F5" s="15" t="s">
        <v>111</v>
      </c>
      <c r="G5" s="38" t="s">
        <v>359</v>
      </c>
      <c r="H5" s="17">
        <f>IF(D4+D5+D6="","",COS(B7/180*PI()))</f>
        <v>0.998582708796819</v>
      </c>
    </row>
    <row r="6" spans="2:8" ht="15">
      <c r="B6" s="75">
        <f>IF(D6="","",D6/3600)</f>
        <v>0.0008333333333333334</v>
      </c>
      <c r="C6" s="50" t="s">
        <v>112</v>
      </c>
      <c r="D6" s="3">
        <v>3</v>
      </c>
      <c r="E6" s="146">
        <f>IF(D4+D5+D6="","",((B7-E4)*60-E5)*60)</f>
        <v>2.9999999999998295</v>
      </c>
      <c r="F6" s="15" t="s">
        <v>112</v>
      </c>
      <c r="G6" s="18"/>
      <c r="H6" s="134"/>
    </row>
    <row r="7" spans="2:8" ht="15">
      <c r="B7" s="53">
        <f>IF(D4+D5+D6="","",SUM(B4+B5+B6))</f>
        <v>3.0508333333333333</v>
      </c>
      <c r="C7" s="15" t="s">
        <v>113</v>
      </c>
      <c r="D7" s="18"/>
      <c r="E7" s="18"/>
      <c r="F7" s="18"/>
      <c r="G7" s="38" t="s">
        <v>360</v>
      </c>
      <c r="H7" s="17">
        <f>IF(D4+D5+D6="","",TAN(B7/180*PI()))</f>
        <v>0.0532974667068488</v>
      </c>
    </row>
    <row r="8" spans="2:8" ht="15">
      <c r="B8" s="36" t="s">
        <v>361</v>
      </c>
      <c r="C8" s="18"/>
      <c r="D8" s="18"/>
      <c r="E8" s="18"/>
      <c r="F8" s="18"/>
      <c r="G8" s="38" t="s">
        <v>362</v>
      </c>
      <c r="H8" s="17">
        <f>IF(D4+D5+D6="","",1/H7)</f>
        <v>18.762617846365643</v>
      </c>
    </row>
    <row r="9" spans="2:8" ht="15">
      <c r="B9" s="29"/>
      <c r="C9" s="38" t="s">
        <v>363</v>
      </c>
      <c r="D9" s="137"/>
      <c r="E9" s="18" t="s">
        <v>130</v>
      </c>
      <c r="F9" s="18"/>
      <c r="G9" s="18"/>
      <c r="H9" s="134"/>
    </row>
    <row r="10" spans="2:8" ht="15">
      <c r="B10" s="29"/>
      <c r="C10" s="38" t="s">
        <v>363</v>
      </c>
      <c r="D10" s="137"/>
      <c r="E10" s="18" t="s">
        <v>364</v>
      </c>
      <c r="F10" s="18"/>
      <c r="G10" s="38" t="s">
        <v>365</v>
      </c>
      <c r="H10" s="17">
        <f>IF(D4+D5+D6="","",1/H5)</f>
        <v>1.0014193027685094</v>
      </c>
    </row>
    <row r="11" spans="2:8" ht="15">
      <c r="B11" s="143" t="s">
        <v>366</v>
      </c>
      <c r="C11" s="18"/>
      <c r="D11" s="18"/>
      <c r="E11" s="18"/>
      <c r="F11" s="18"/>
      <c r="G11" s="38" t="s">
        <v>367</v>
      </c>
      <c r="H11" s="17">
        <f>IF(D4+D5+D6="","",1/H4)</f>
        <v>18.789247681819475</v>
      </c>
    </row>
    <row r="12" spans="2:8" ht="15">
      <c r="B12" s="143" t="s">
        <v>368</v>
      </c>
      <c r="C12" s="18"/>
      <c r="D12" s="142"/>
      <c r="E12" s="15"/>
      <c r="F12" s="18"/>
      <c r="G12" s="38"/>
      <c r="H12" s="17"/>
    </row>
    <row r="13" spans="2:8" ht="15">
      <c r="B13" s="143" t="s">
        <v>369</v>
      </c>
      <c r="C13" s="18"/>
      <c r="D13" s="142"/>
      <c r="E13" s="15"/>
      <c r="F13" s="18"/>
      <c r="G13" s="38" t="s">
        <v>370</v>
      </c>
      <c r="H13" s="17">
        <f>IF(D4+D5+D6="","",B7*0.0174532925199433)</f>
        <v>0.053247086596260346</v>
      </c>
    </row>
    <row r="14" spans="2:8" ht="15">
      <c r="B14" s="29"/>
      <c r="C14" s="18"/>
      <c r="D14" s="18"/>
      <c r="E14" s="18"/>
      <c r="F14" s="18"/>
      <c r="G14" s="142">
        <f>IF(D9="","",CONCATENATE("Height needed, in inches, for a ",FIXED(D9,4)," inch sine bar = "))</f>
      </c>
      <c r="H14" s="17">
        <f>IF(D4+D5+D6="","",IF(D9="","",SUM(H4*D9)))</f>
      </c>
    </row>
    <row r="15" spans="2:8" ht="15">
      <c r="B15" s="29"/>
      <c r="C15" s="18"/>
      <c r="D15" s="18"/>
      <c r="E15" s="18"/>
      <c r="F15" s="18"/>
      <c r="G15" s="38">
        <f>IF(D10="","",CONCATENATE("Height needed, in millimeters, for a ",FIXED(D10,3)," millimeter sine bar = "))</f>
      </c>
      <c r="H15" s="17">
        <f>IF(D4+D5+D6="","",IF(D10="","",SUM(H4*D10)))</f>
      </c>
    </row>
    <row r="16" spans="2:8" ht="15.75" thickBot="1">
      <c r="B16" s="30"/>
      <c r="C16" s="21"/>
      <c r="D16" s="141"/>
      <c r="E16" s="136"/>
      <c r="F16" s="21"/>
      <c r="G16" s="54"/>
      <c r="H16" s="135"/>
    </row>
    <row r="17" ht="15.75" thickTop="1"/>
    <row r="22" ht="15">
      <c r="B22" s="139"/>
    </row>
    <row r="23" ht="15">
      <c r="B23" s="139"/>
    </row>
    <row r="24" spans="2:3" ht="15">
      <c r="B24" s="139"/>
      <c r="C24" s="14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Y200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7.10546875" style="183" customWidth="1"/>
    <col min="2" max="2" width="7.10546875" style="339" customWidth="1"/>
    <col min="3" max="3" width="2.99609375" style="340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2" max="22" width="56.77734375" style="0" customWidth="1"/>
    <col min="23" max="24" width="26.6640625" style="0" customWidth="1"/>
    <col min="25" max="25" width="16.777343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</cols>
  <sheetData>
    <row r="1" spans="1:25" ht="15">
      <c r="A1" s="324" t="s">
        <v>371</v>
      </c>
      <c r="B1" s="325"/>
      <c r="C1" s="326"/>
      <c r="D1" s="327"/>
      <c r="F1" s="324" t="s">
        <v>127</v>
      </c>
      <c r="G1" s="324"/>
      <c r="I1" s="324" t="s">
        <v>143</v>
      </c>
      <c r="J1" s="324"/>
      <c r="L1" s="324" t="s">
        <v>140</v>
      </c>
      <c r="M1" s="324"/>
      <c r="O1" s="324" t="s">
        <v>142</v>
      </c>
      <c r="P1" s="324"/>
      <c r="Q1" s="324"/>
      <c r="R1" s="324"/>
      <c r="S1" s="324" t="s">
        <v>372</v>
      </c>
      <c r="T1" s="324"/>
      <c r="V1" t="s">
        <v>373</v>
      </c>
      <c r="W1" t="s">
        <v>94</v>
      </c>
      <c r="X1" t="s">
        <v>95</v>
      </c>
      <c r="Y1" t="s">
        <v>374</v>
      </c>
    </row>
    <row r="2" spans="1:25" ht="15">
      <c r="A2"/>
      <c r="B2" s="328">
        <v>0.0059</v>
      </c>
      <c r="C2" s="183">
        <v>97</v>
      </c>
      <c r="D2" s="329">
        <v>0.15</v>
      </c>
      <c r="F2" s="330">
        <v>0.228</v>
      </c>
      <c r="G2" s="331">
        <v>1</v>
      </c>
      <c r="I2" s="330">
        <v>0.234</v>
      </c>
      <c r="J2" s="331" t="s">
        <v>261</v>
      </c>
      <c r="L2" s="331" t="s">
        <v>262</v>
      </c>
      <c r="M2" s="330">
        <v>0.0156</v>
      </c>
      <c r="O2" s="330">
        <v>0.0059</v>
      </c>
      <c r="P2" s="332">
        <v>0.15</v>
      </c>
      <c r="Q2" s="330">
        <v>1.4961</v>
      </c>
      <c r="R2" s="332">
        <v>38</v>
      </c>
      <c r="S2" s="333">
        <v>1</v>
      </c>
      <c r="T2" t="s">
        <v>375</v>
      </c>
      <c r="V2" t="str">
        <f>IF(W2="","",W2&amp;" &lt;&lt;&lt;&gt;&gt;&gt; "&amp;X2)</f>
        <v>Abampere &lt;&lt;&lt;&gt;&gt;&gt; Ampere</v>
      </c>
      <c r="W2" t="s">
        <v>376</v>
      </c>
      <c r="X2" t="s">
        <v>377</v>
      </c>
      <c r="Y2">
        <v>10</v>
      </c>
    </row>
    <row r="3" spans="1:25" ht="15">
      <c r="A3"/>
      <c r="B3" s="328">
        <v>0.0063</v>
      </c>
      <c r="C3" s="183">
        <v>96</v>
      </c>
      <c r="D3" s="329">
        <v>0.16</v>
      </c>
      <c r="F3" s="330">
        <v>0.221</v>
      </c>
      <c r="G3" s="331">
        <v>2</v>
      </c>
      <c r="I3" s="330">
        <v>0.23800000000000002</v>
      </c>
      <c r="J3" s="331" t="s">
        <v>150</v>
      </c>
      <c r="L3" s="331" t="s">
        <v>263</v>
      </c>
      <c r="M3" s="330">
        <v>0.0312</v>
      </c>
      <c r="O3" s="330">
        <v>0.0063</v>
      </c>
      <c r="P3" s="332">
        <v>0.16</v>
      </c>
      <c r="Q3" s="330">
        <v>1.4764</v>
      </c>
      <c r="R3" s="332">
        <v>37.5</v>
      </c>
      <c r="S3" s="334">
        <f>INDEX(A2:A421,S2)</f>
        <v>0</v>
      </c>
      <c r="T3" t="s">
        <v>140</v>
      </c>
      <c r="V3" t="str">
        <f aca="true" t="shared" si="0" ref="V3:V66">IF(W3="","",W3&amp;" &lt;&lt;&lt;&gt;&gt;&gt; "&amp;X3)</f>
        <v>Abampere &lt;&lt;&lt;&gt;&gt;&gt; Faradays/sec (chem)</v>
      </c>
      <c r="W3" t="s">
        <v>376</v>
      </c>
      <c r="X3" t="s">
        <v>378</v>
      </c>
      <c r="Y3">
        <v>0.000103638</v>
      </c>
    </row>
    <row r="4" spans="1:25" ht="15">
      <c r="A4"/>
      <c r="B4" s="328">
        <v>0.0067</v>
      </c>
      <c r="C4" s="183">
        <v>95</v>
      </c>
      <c r="D4" s="329">
        <v>0.17</v>
      </c>
      <c r="F4" s="330">
        <v>0.213</v>
      </c>
      <c r="G4" s="331">
        <v>3</v>
      </c>
      <c r="I4" s="330">
        <v>0.242</v>
      </c>
      <c r="J4" s="331" t="s">
        <v>152</v>
      </c>
      <c r="L4" s="331" t="s">
        <v>157</v>
      </c>
      <c r="M4" s="330">
        <v>0.046900000000000004</v>
      </c>
      <c r="O4" s="330">
        <v>0.0067</v>
      </c>
      <c r="P4" s="332">
        <v>0.17</v>
      </c>
      <c r="Q4" s="330">
        <v>1.4567</v>
      </c>
      <c r="R4" s="332">
        <v>37</v>
      </c>
      <c r="S4" s="334">
        <f>INDEX(C2:C421,S2)</f>
        <v>97</v>
      </c>
      <c r="T4" t="s">
        <v>379</v>
      </c>
      <c r="V4" t="str">
        <f t="shared" si="0"/>
        <v>Abampere &lt;&lt;&lt;&gt;&gt;&gt; Statamperes</v>
      </c>
      <c r="W4" t="s">
        <v>376</v>
      </c>
      <c r="X4" t="s">
        <v>380</v>
      </c>
      <c r="Y4">
        <v>29979300000</v>
      </c>
    </row>
    <row r="5" spans="1:25" ht="15">
      <c r="A5"/>
      <c r="B5" s="328">
        <v>0.0071</v>
      </c>
      <c r="C5" s="183">
        <v>94</v>
      </c>
      <c r="D5" s="329">
        <v>0.18</v>
      </c>
      <c r="F5" s="330">
        <v>0.209</v>
      </c>
      <c r="G5" s="331">
        <v>4</v>
      </c>
      <c r="I5" s="330">
        <v>0.246</v>
      </c>
      <c r="J5" s="331" t="s">
        <v>154</v>
      </c>
      <c r="L5" s="331" t="s">
        <v>177</v>
      </c>
      <c r="M5" s="330">
        <v>0.0625</v>
      </c>
      <c r="O5" s="330">
        <v>0.0071</v>
      </c>
      <c r="P5" s="332">
        <v>0.18</v>
      </c>
      <c r="Q5" s="330">
        <v>1.437</v>
      </c>
      <c r="R5" s="332">
        <v>36.5</v>
      </c>
      <c r="S5" s="334">
        <f>INDEX(D2:D421,S2)</f>
        <v>0.15</v>
      </c>
      <c r="T5" t="s">
        <v>381</v>
      </c>
      <c r="V5" t="str">
        <f t="shared" si="0"/>
        <v>Abcoulomb &lt;&lt;&lt;&gt;&gt;&gt; Ampere - hours</v>
      </c>
      <c r="W5" t="s">
        <v>382</v>
      </c>
      <c r="X5" t="s">
        <v>383</v>
      </c>
      <c r="Y5">
        <v>0.00278</v>
      </c>
    </row>
    <row r="6" spans="1:25" ht="15">
      <c r="A6"/>
      <c r="B6" s="328">
        <v>0.0075</v>
      </c>
      <c r="C6" s="183">
        <v>93</v>
      </c>
      <c r="D6" s="329">
        <v>0.19</v>
      </c>
      <c r="F6" s="330">
        <v>0.20550000000000002</v>
      </c>
      <c r="G6" s="331">
        <v>5</v>
      </c>
      <c r="I6" s="330">
        <v>0.25</v>
      </c>
      <c r="J6" s="331" t="s">
        <v>160</v>
      </c>
      <c r="L6" s="331" t="s">
        <v>201</v>
      </c>
      <c r="M6" s="330">
        <v>0.0781</v>
      </c>
      <c r="O6" s="330">
        <v>0.0075</v>
      </c>
      <c r="P6" s="332">
        <v>0.19</v>
      </c>
      <c r="Q6" s="330">
        <v>1.4173</v>
      </c>
      <c r="R6" s="332">
        <v>36</v>
      </c>
      <c r="V6" t="str">
        <f t="shared" si="0"/>
        <v>Abcoulomb &lt;&lt;&lt;&gt;&gt;&gt; Coulomb </v>
      </c>
      <c r="W6" t="s">
        <v>382</v>
      </c>
      <c r="X6" t="s">
        <v>384</v>
      </c>
      <c r="Y6">
        <v>10</v>
      </c>
    </row>
    <row r="7" spans="1:25" ht="15">
      <c r="A7"/>
      <c r="B7" s="328">
        <v>0.0079</v>
      </c>
      <c r="C7" s="183">
        <v>92</v>
      </c>
      <c r="D7" s="329">
        <v>0.2</v>
      </c>
      <c r="F7" s="330">
        <v>0.20400000000000001</v>
      </c>
      <c r="G7" s="331">
        <v>6</v>
      </c>
      <c r="I7" s="330">
        <v>0.257</v>
      </c>
      <c r="J7" s="331" t="s">
        <v>164</v>
      </c>
      <c r="L7" s="331" t="s">
        <v>225</v>
      </c>
      <c r="M7" s="330">
        <v>0.09380000000000001</v>
      </c>
      <c r="O7" s="330">
        <v>0.0079</v>
      </c>
      <c r="P7" s="332">
        <v>0.2</v>
      </c>
      <c r="Q7" s="330">
        <v>1.3976</v>
      </c>
      <c r="R7" s="332">
        <v>35.5</v>
      </c>
      <c r="S7" s="324" t="s">
        <v>385</v>
      </c>
      <c r="T7" s="324"/>
      <c r="V7" t="str">
        <f t="shared" si="0"/>
        <v>Abcoulomb &lt;&lt;&lt;&gt;&gt;&gt; Electronic charges</v>
      </c>
      <c r="W7" t="s">
        <v>382</v>
      </c>
      <c r="X7" t="s">
        <v>386</v>
      </c>
      <c r="Y7">
        <v>6.24196E+19</v>
      </c>
    </row>
    <row r="8" spans="1:25" ht="15">
      <c r="A8"/>
      <c r="B8" s="328">
        <v>0.0083</v>
      </c>
      <c r="C8" s="183">
        <v>91</v>
      </c>
      <c r="D8" s="329">
        <v>0.21</v>
      </c>
      <c r="F8" s="330">
        <v>0.201</v>
      </c>
      <c r="G8" s="331">
        <v>7</v>
      </c>
      <c r="I8" s="330">
        <v>0.261</v>
      </c>
      <c r="J8" s="331" t="s">
        <v>167</v>
      </c>
      <c r="L8" s="331" t="s">
        <v>246</v>
      </c>
      <c r="M8" s="330">
        <v>0.1094</v>
      </c>
      <c r="O8" s="330">
        <v>0.0083</v>
      </c>
      <c r="P8" s="332">
        <v>0.21</v>
      </c>
      <c r="Q8" s="330">
        <v>1.378</v>
      </c>
      <c r="R8" s="332">
        <v>35</v>
      </c>
      <c r="S8" s="335">
        <v>1</v>
      </c>
      <c r="T8" t="s">
        <v>375</v>
      </c>
      <c r="V8" t="str">
        <f t="shared" si="0"/>
        <v>Abcoulomb &lt;&lt;&lt;&gt;&gt;&gt; Faradays (chem)</v>
      </c>
      <c r="W8" t="s">
        <v>382</v>
      </c>
      <c r="X8" t="s">
        <v>387</v>
      </c>
      <c r="Y8">
        <v>0.000103638</v>
      </c>
    </row>
    <row r="9" spans="1:25" ht="15">
      <c r="A9"/>
      <c r="B9" s="328">
        <v>0.0087</v>
      </c>
      <c r="C9" s="183">
        <v>90</v>
      </c>
      <c r="D9" s="329">
        <v>0.22</v>
      </c>
      <c r="F9" s="330">
        <v>0.199</v>
      </c>
      <c r="G9" s="331">
        <v>8</v>
      </c>
      <c r="I9" s="330">
        <v>0.266</v>
      </c>
      <c r="J9" s="331" t="s">
        <v>174</v>
      </c>
      <c r="L9" s="331" t="s">
        <v>147</v>
      </c>
      <c r="M9" s="330">
        <v>0.125</v>
      </c>
      <c r="O9" s="330">
        <v>0.0087</v>
      </c>
      <c r="P9" s="336">
        <v>0.22</v>
      </c>
      <c r="Q9" s="330">
        <v>1.3583</v>
      </c>
      <c r="R9" s="332">
        <v>34.5</v>
      </c>
      <c r="S9" s="337">
        <f>INDEX(M2:M97,S8)</f>
        <v>0.0156</v>
      </c>
      <c r="T9" t="s">
        <v>139</v>
      </c>
      <c r="V9" t="str">
        <f t="shared" si="0"/>
        <v>Abcoulomb &lt;&lt;&lt;&gt;&gt;&gt; Statcoulombs</v>
      </c>
      <c r="W9" t="s">
        <v>382</v>
      </c>
      <c r="X9" t="s">
        <v>388</v>
      </c>
      <c r="Y9">
        <v>29979300000</v>
      </c>
    </row>
    <row r="10" spans="1:25" ht="15">
      <c r="A10"/>
      <c r="B10" s="328">
        <v>0.0091</v>
      </c>
      <c r="C10" s="183">
        <v>89</v>
      </c>
      <c r="D10" s="329">
        <v>0.23</v>
      </c>
      <c r="F10" s="330">
        <v>0.196</v>
      </c>
      <c r="G10" s="331">
        <v>9</v>
      </c>
      <c r="I10" s="330">
        <v>0.272</v>
      </c>
      <c r="J10" s="331" t="s">
        <v>180</v>
      </c>
      <c r="L10" s="331" t="s">
        <v>162</v>
      </c>
      <c r="M10" s="330">
        <v>0.1406</v>
      </c>
      <c r="O10" s="330">
        <v>0.0091</v>
      </c>
      <c r="P10" s="332">
        <v>0.23</v>
      </c>
      <c r="Q10" s="330">
        <v>1.3386</v>
      </c>
      <c r="R10" s="332">
        <v>34</v>
      </c>
      <c r="V10" t="str">
        <f t="shared" si="0"/>
        <v>Abfarads &lt;&lt;&lt;&gt;&gt;&gt; Farads</v>
      </c>
      <c r="W10" t="s">
        <v>389</v>
      </c>
      <c r="X10" t="s">
        <v>390</v>
      </c>
      <c r="Y10">
        <v>1E-09</v>
      </c>
    </row>
    <row r="11" spans="1:25" ht="15">
      <c r="A11"/>
      <c r="B11" s="328">
        <v>0.0094</v>
      </c>
      <c r="C11" s="183"/>
      <c r="D11" s="329">
        <v>0.24</v>
      </c>
      <c r="F11" s="330">
        <v>0.1935</v>
      </c>
      <c r="G11" s="331">
        <v>10</v>
      </c>
      <c r="I11" s="330">
        <v>0.277</v>
      </c>
      <c r="J11" s="331" t="s">
        <v>183</v>
      </c>
      <c r="L11" s="331" t="s">
        <v>179</v>
      </c>
      <c r="M11" s="330">
        <v>0.1562</v>
      </c>
      <c r="O11" s="330">
        <v>0.0094</v>
      </c>
      <c r="P11" s="332">
        <v>0.24</v>
      </c>
      <c r="Q11" s="330">
        <v>1.3189</v>
      </c>
      <c r="R11" s="332">
        <v>33.5</v>
      </c>
      <c r="S11" s="324" t="s">
        <v>391</v>
      </c>
      <c r="T11" s="324"/>
      <c r="V11" t="str">
        <f t="shared" si="0"/>
        <v>Abfarads &lt;&lt;&lt;&gt;&gt;&gt; Microfarads</v>
      </c>
      <c r="W11" t="s">
        <v>389</v>
      </c>
      <c r="X11" t="s">
        <v>392</v>
      </c>
      <c r="Y11">
        <v>1E-15</v>
      </c>
    </row>
    <row r="12" spans="1:25" ht="15">
      <c r="A12"/>
      <c r="B12" s="328">
        <v>0.0095</v>
      </c>
      <c r="C12" s="183">
        <v>88</v>
      </c>
      <c r="D12" s="329"/>
      <c r="F12" s="330">
        <v>0.191</v>
      </c>
      <c r="G12" s="331">
        <v>11</v>
      </c>
      <c r="I12" s="330">
        <v>0.281</v>
      </c>
      <c r="J12" s="331" t="s">
        <v>186</v>
      </c>
      <c r="L12" s="331" t="s">
        <v>197</v>
      </c>
      <c r="M12" s="330">
        <v>0.1719</v>
      </c>
      <c r="O12" s="330">
        <v>0.0098</v>
      </c>
      <c r="P12" s="332">
        <v>0.25</v>
      </c>
      <c r="Q12" s="330">
        <v>1.2992</v>
      </c>
      <c r="R12" s="332">
        <v>33</v>
      </c>
      <c r="S12" s="335">
        <v>1</v>
      </c>
      <c r="T12" t="s">
        <v>375</v>
      </c>
      <c r="V12" t="str">
        <f t="shared" si="0"/>
        <v>Abfarads &lt;&lt;&lt;&gt;&gt;&gt; Statfarads</v>
      </c>
      <c r="W12" t="s">
        <v>389</v>
      </c>
      <c r="X12" t="s">
        <v>393</v>
      </c>
      <c r="Y12">
        <v>8.98758E+20</v>
      </c>
    </row>
    <row r="13" spans="1:25" ht="15">
      <c r="A13"/>
      <c r="B13" s="328">
        <v>0.0098</v>
      </c>
      <c r="C13" s="183"/>
      <c r="D13" s="329">
        <v>0.25</v>
      </c>
      <c r="F13" s="330">
        <v>0.189</v>
      </c>
      <c r="G13" s="331">
        <v>12</v>
      </c>
      <c r="I13" s="330">
        <v>0.29</v>
      </c>
      <c r="J13" s="331" t="s">
        <v>194</v>
      </c>
      <c r="L13" s="331" t="s">
        <v>214</v>
      </c>
      <c r="M13" s="330">
        <v>0.1875</v>
      </c>
      <c r="O13" s="330">
        <v>0.0102</v>
      </c>
      <c r="P13" s="332">
        <v>0.26</v>
      </c>
      <c r="Q13" s="330">
        <v>1.2795</v>
      </c>
      <c r="R13" s="332">
        <v>32.5</v>
      </c>
      <c r="S13" s="337">
        <f>INDEX(I2:I27,S12)</f>
        <v>0.234</v>
      </c>
      <c r="T13" t="s">
        <v>139</v>
      </c>
      <c r="V13" t="str">
        <f t="shared" si="0"/>
        <v>Abhenries &lt;&lt;&lt;&gt;&gt;&gt; Henries</v>
      </c>
      <c r="W13" t="s">
        <v>394</v>
      </c>
      <c r="X13" t="s">
        <v>395</v>
      </c>
      <c r="Y13">
        <v>1E-09</v>
      </c>
    </row>
    <row r="14" spans="1:25" ht="15">
      <c r="A14"/>
      <c r="B14" s="328">
        <v>0.01</v>
      </c>
      <c r="C14" s="183">
        <v>87</v>
      </c>
      <c r="D14" s="329"/>
      <c r="F14" s="330">
        <v>0.185</v>
      </c>
      <c r="G14" s="331">
        <v>13</v>
      </c>
      <c r="I14" s="330">
        <v>0.295</v>
      </c>
      <c r="J14" s="331" t="s">
        <v>198</v>
      </c>
      <c r="L14" s="331" t="s">
        <v>231</v>
      </c>
      <c r="M14" s="330">
        <v>0.2031</v>
      </c>
      <c r="O14" s="330">
        <v>0.0106</v>
      </c>
      <c r="P14" s="332">
        <v>0.27</v>
      </c>
      <c r="Q14" s="330">
        <v>1.2598</v>
      </c>
      <c r="R14" s="332">
        <v>32</v>
      </c>
      <c r="V14" t="str">
        <f t="shared" si="0"/>
        <v>Acre-Feet &lt;&lt;&lt;&gt;&gt;&gt; Cubic Feet </v>
      </c>
      <c r="W14" t="s">
        <v>401</v>
      </c>
      <c r="X14" t="s">
        <v>402</v>
      </c>
      <c r="Y14">
        <v>43560</v>
      </c>
    </row>
    <row r="15" spans="1:25" ht="15">
      <c r="A15"/>
      <c r="B15" s="328">
        <v>0.0102</v>
      </c>
      <c r="C15" s="183"/>
      <c r="D15" s="329">
        <v>0.26</v>
      </c>
      <c r="F15" s="330">
        <v>0.182</v>
      </c>
      <c r="G15" s="331">
        <v>14</v>
      </c>
      <c r="I15" s="330">
        <v>0.302</v>
      </c>
      <c r="J15" s="331" t="s">
        <v>206</v>
      </c>
      <c r="L15" s="331" t="s">
        <v>247</v>
      </c>
      <c r="M15" s="330">
        <v>0.2188</v>
      </c>
      <c r="O15" s="330">
        <v>0.011</v>
      </c>
      <c r="P15" s="332">
        <v>0.28</v>
      </c>
      <c r="Q15" s="330">
        <v>1.2402</v>
      </c>
      <c r="R15" s="332">
        <v>31.5</v>
      </c>
      <c r="S15" s="324" t="s">
        <v>397</v>
      </c>
      <c r="T15" s="324"/>
      <c r="V15" t="str">
        <f t="shared" si="0"/>
        <v>Acres &lt;&lt;&lt;&gt;&gt;&gt; Hectare or Square hectometer </v>
      </c>
      <c r="W15" t="s">
        <v>404</v>
      </c>
      <c r="X15" t="s">
        <v>396</v>
      </c>
      <c r="Y15">
        <v>0.4046856</v>
      </c>
    </row>
    <row r="16" spans="1:25" ht="15">
      <c r="A16"/>
      <c r="B16" s="328">
        <v>0.0105</v>
      </c>
      <c r="C16" s="183">
        <v>86</v>
      </c>
      <c r="D16" s="329"/>
      <c r="F16" s="330">
        <v>0.18</v>
      </c>
      <c r="G16" s="331">
        <v>15</v>
      </c>
      <c r="I16" s="330">
        <v>0.316</v>
      </c>
      <c r="J16" s="331" t="s">
        <v>216</v>
      </c>
      <c r="L16" s="331" t="s">
        <v>144</v>
      </c>
      <c r="M16" s="330">
        <v>0.2344</v>
      </c>
      <c r="O16" s="330">
        <v>0.0114</v>
      </c>
      <c r="P16" s="332">
        <v>0.29</v>
      </c>
      <c r="Q16" s="330">
        <v>1.2205</v>
      </c>
      <c r="R16" s="332">
        <v>31</v>
      </c>
      <c r="S16" s="335">
        <v>1</v>
      </c>
      <c r="T16" t="s">
        <v>375</v>
      </c>
      <c r="V16" t="str">
        <f t="shared" si="0"/>
        <v>Acres &lt;&lt;&lt;&gt;&gt;&gt; Square Chain (Gunter's) </v>
      </c>
      <c r="W16" t="s">
        <v>404</v>
      </c>
      <c r="X16" t="s">
        <v>398</v>
      </c>
      <c r="Y16">
        <v>10</v>
      </c>
    </row>
    <row r="17" spans="1:25" ht="15">
      <c r="A17"/>
      <c r="B17" s="328">
        <v>0.0106</v>
      </c>
      <c r="C17" s="183"/>
      <c r="D17" s="329">
        <v>0.27</v>
      </c>
      <c r="F17" s="330">
        <v>0.177</v>
      </c>
      <c r="G17" s="331">
        <v>16</v>
      </c>
      <c r="I17" s="330">
        <v>0.323</v>
      </c>
      <c r="J17" s="331" t="s">
        <v>221</v>
      </c>
      <c r="L17" s="331" t="s">
        <v>159</v>
      </c>
      <c r="M17" s="330">
        <v>0.25</v>
      </c>
      <c r="O17" s="330">
        <v>0.0118</v>
      </c>
      <c r="P17" s="332">
        <v>0.3</v>
      </c>
      <c r="Q17" s="330">
        <v>1.2008</v>
      </c>
      <c r="R17" s="332">
        <v>30.5</v>
      </c>
      <c r="S17" s="337">
        <f>INDEX(F2:F98,S16)</f>
        <v>0.228</v>
      </c>
      <c r="T17" t="s">
        <v>139</v>
      </c>
      <c r="V17" t="str">
        <f t="shared" si="0"/>
        <v>Acres &lt;&lt;&lt;&gt;&gt;&gt; Square Feet </v>
      </c>
      <c r="W17" t="s">
        <v>404</v>
      </c>
      <c r="X17" t="s">
        <v>405</v>
      </c>
      <c r="Y17">
        <v>43560</v>
      </c>
    </row>
    <row r="18" spans="1:25" ht="15">
      <c r="A18"/>
      <c r="B18" s="328">
        <v>0.011</v>
      </c>
      <c r="C18" s="183">
        <v>85</v>
      </c>
      <c r="D18" s="329">
        <v>0.28</v>
      </c>
      <c r="F18" s="330">
        <v>0.17300000000000001</v>
      </c>
      <c r="G18" s="331">
        <v>17</v>
      </c>
      <c r="I18" s="330">
        <v>0.332</v>
      </c>
      <c r="J18" s="331" t="s">
        <v>229</v>
      </c>
      <c r="L18" s="331" t="s">
        <v>170</v>
      </c>
      <c r="M18" s="330">
        <v>0.2656</v>
      </c>
      <c r="O18" s="330">
        <v>0.0126</v>
      </c>
      <c r="P18" s="332">
        <v>0.32</v>
      </c>
      <c r="Q18" s="330">
        <v>1.1811</v>
      </c>
      <c r="R18" s="332">
        <v>30</v>
      </c>
      <c r="V18" t="str">
        <f t="shared" si="0"/>
        <v>Acres &lt;&lt;&lt;&gt;&gt;&gt; Square Feet (US Survey)</v>
      </c>
      <c r="W18" t="s">
        <v>404</v>
      </c>
      <c r="X18" t="s">
        <v>870</v>
      </c>
      <c r="Y18">
        <v>43559.826</v>
      </c>
    </row>
    <row r="19" spans="1:25" ht="15">
      <c r="A19"/>
      <c r="B19" s="328">
        <v>0.0114</v>
      </c>
      <c r="C19" s="183"/>
      <c r="D19" s="329">
        <v>0.29</v>
      </c>
      <c r="F19" s="330">
        <v>0.1695</v>
      </c>
      <c r="G19" s="331">
        <v>18</v>
      </c>
      <c r="I19" s="330">
        <v>0.339</v>
      </c>
      <c r="J19" s="331" t="s">
        <v>235</v>
      </c>
      <c r="L19" s="331" t="s">
        <v>188</v>
      </c>
      <c r="M19" s="330">
        <v>0.2812</v>
      </c>
      <c r="O19" s="330">
        <v>0.0134</v>
      </c>
      <c r="P19" s="332">
        <v>0.34</v>
      </c>
      <c r="Q19" s="330">
        <v>1.1614</v>
      </c>
      <c r="R19" s="332">
        <v>29.5</v>
      </c>
      <c r="S19" s="324" t="s">
        <v>403</v>
      </c>
      <c r="T19" s="324"/>
      <c r="V19" t="str">
        <f t="shared" si="0"/>
        <v>Acres &lt;&lt;&lt;&gt;&gt;&gt; Square Kilometers</v>
      </c>
      <c r="W19" t="s">
        <v>404</v>
      </c>
      <c r="X19" t="s">
        <v>871</v>
      </c>
      <c r="Y19">
        <v>0.00404686</v>
      </c>
    </row>
    <row r="20" spans="1:25" ht="15">
      <c r="A20"/>
      <c r="B20" s="328">
        <v>0.0115</v>
      </c>
      <c r="C20" s="183">
        <v>84</v>
      </c>
      <c r="D20" s="329"/>
      <c r="F20" s="330">
        <v>0.166</v>
      </c>
      <c r="G20" s="331">
        <v>19</v>
      </c>
      <c r="I20" s="330">
        <v>0.34800000000000003</v>
      </c>
      <c r="J20" s="331" t="s">
        <v>242</v>
      </c>
      <c r="L20" s="331" t="s">
        <v>202</v>
      </c>
      <c r="M20" s="330">
        <v>0.2969</v>
      </c>
      <c r="O20" s="330">
        <v>0.0138</v>
      </c>
      <c r="P20" s="332">
        <v>0.35</v>
      </c>
      <c r="Q20" s="330">
        <v>1.1417</v>
      </c>
      <c r="R20" s="332">
        <v>29</v>
      </c>
      <c r="S20" s="335">
        <v>1</v>
      </c>
      <c r="T20" t="s">
        <v>375</v>
      </c>
      <c r="V20" t="str">
        <f t="shared" si="0"/>
        <v>Acres &lt;&lt;&lt;&gt;&gt;&gt; Square Links (Gunter's) </v>
      </c>
      <c r="W20" t="s">
        <v>404</v>
      </c>
      <c r="X20" t="s">
        <v>399</v>
      </c>
      <c r="Y20">
        <v>100000</v>
      </c>
    </row>
    <row r="21" spans="1:25" ht="15">
      <c r="A21"/>
      <c r="B21" s="328">
        <v>0.0118</v>
      </c>
      <c r="C21" s="183"/>
      <c r="D21" s="329">
        <v>0.3</v>
      </c>
      <c r="F21" s="330">
        <v>0.161</v>
      </c>
      <c r="G21" s="331">
        <v>20</v>
      </c>
      <c r="I21" s="330">
        <v>0.358</v>
      </c>
      <c r="J21" s="331" t="s">
        <v>248</v>
      </c>
      <c r="L21" s="331" t="s">
        <v>212</v>
      </c>
      <c r="M21" s="330">
        <v>0.3125</v>
      </c>
      <c r="O21" s="330">
        <v>0.0142</v>
      </c>
      <c r="P21" s="332">
        <v>0.36</v>
      </c>
      <c r="Q21" s="330">
        <v>1.122</v>
      </c>
      <c r="R21" s="332">
        <v>28.5</v>
      </c>
      <c r="S21" s="337">
        <f>INDEX(O2:O215,S20)</f>
        <v>0.0059</v>
      </c>
      <c r="T21" t="s">
        <v>139</v>
      </c>
      <c r="V21" t="str">
        <f t="shared" si="0"/>
        <v>Acres &lt;&lt;&lt;&gt;&gt;&gt; Square Rods </v>
      </c>
      <c r="W21" t="s">
        <v>404</v>
      </c>
      <c r="X21" t="s">
        <v>400</v>
      </c>
      <c r="Y21">
        <v>160</v>
      </c>
    </row>
    <row r="22" spans="1:25" ht="15">
      <c r="A22"/>
      <c r="B22" s="328">
        <v>0.012</v>
      </c>
      <c r="C22" s="183">
        <v>83</v>
      </c>
      <c r="D22" s="329"/>
      <c r="F22" s="330">
        <v>0.159</v>
      </c>
      <c r="G22" s="331">
        <v>21</v>
      </c>
      <c r="I22" s="330">
        <v>0.368</v>
      </c>
      <c r="J22" s="331" t="s">
        <v>257</v>
      </c>
      <c r="L22" s="331" t="s">
        <v>226</v>
      </c>
      <c r="M22" s="330">
        <v>0.3281</v>
      </c>
      <c r="O22" s="330">
        <v>0.015</v>
      </c>
      <c r="P22" s="332">
        <v>0.38</v>
      </c>
      <c r="Q22" s="330">
        <v>1.1024</v>
      </c>
      <c r="R22" s="332">
        <v>28</v>
      </c>
      <c r="V22" t="str">
        <f t="shared" si="0"/>
        <v>Acres  &lt;&lt;&lt;&gt;&gt;&gt; Square Meters </v>
      </c>
      <c r="W22" t="s">
        <v>406</v>
      </c>
      <c r="X22" t="s">
        <v>407</v>
      </c>
      <c r="Y22">
        <v>4046.856421</v>
      </c>
    </row>
    <row r="23" spans="1:25" ht="15">
      <c r="A23"/>
      <c r="B23" s="328">
        <v>0.0125</v>
      </c>
      <c r="C23" s="183">
        <v>82</v>
      </c>
      <c r="D23" s="329"/>
      <c r="F23" s="330">
        <v>0.157</v>
      </c>
      <c r="G23" s="331">
        <v>22</v>
      </c>
      <c r="I23" s="330">
        <v>0.377</v>
      </c>
      <c r="J23" s="331" t="s">
        <v>148</v>
      </c>
      <c r="L23" s="331" t="s">
        <v>238</v>
      </c>
      <c r="M23" s="330">
        <v>0.3438</v>
      </c>
      <c r="O23" s="330">
        <v>0.0157</v>
      </c>
      <c r="P23" s="332">
        <v>0.4</v>
      </c>
      <c r="Q23" s="330">
        <v>1.0827</v>
      </c>
      <c r="R23" s="332">
        <v>27.5</v>
      </c>
      <c r="V23" t="str">
        <f t="shared" si="0"/>
        <v>Acres  &lt;&lt;&lt;&gt;&gt;&gt; Square Miles </v>
      </c>
      <c r="W23" t="s">
        <v>406</v>
      </c>
      <c r="X23" t="s">
        <v>408</v>
      </c>
      <c r="Y23">
        <v>0.001562</v>
      </c>
    </row>
    <row r="24" spans="1:25" ht="15">
      <c r="A24"/>
      <c r="B24" s="328">
        <v>0.0126</v>
      </c>
      <c r="C24" s="183"/>
      <c r="D24" s="329">
        <v>0.32</v>
      </c>
      <c r="F24" s="330">
        <v>0.154</v>
      </c>
      <c r="G24" s="331">
        <v>23</v>
      </c>
      <c r="I24" s="330">
        <v>0.386</v>
      </c>
      <c r="J24" s="331" t="s">
        <v>155</v>
      </c>
      <c r="L24" s="331" t="s">
        <v>252</v>
      </c>
      <c r="M24" s="330">
        <v>0.3594</v>
      </c>
      <c r="O24" s="330">
        <v>0.0165</v>
      </c>
      <c r="P24" s="332">
        <v>0.42</v>
      </c>
      <c r="Q24" s="330">
        <v>1.063</v>
      </c>
      <c r="R24" s="332">
        <v>27</v>
      </c>
      <c r="S24" s="324" t="s">
        <v>412</v>
      </c>
      <c r="T24" s="324"/>
      <c r="V24" t="str">
        <f t="shared" si="0"/>
        <v>Acres  &lt;&lt;&lt;&gt;&gt;&gt; Square Yards </v>
      </c>
      <c r="W24" t="s">
        <v>406</v>
      </c>
      <c r="X24" t="s">
        <v>409</v>
      </c>
      <c r="Y24">
        <v>4840</v>
      </c>
    </row>
    <row r="25" spans="1:25" ht="15">
      <c r="A25"/>
      <c r="B25" s="328">
        <v>0.013</v>
      </c>
      <c r="C25" s="183">
        <v>81</v>
      </c>
      <c r="D25" s="329"/>
      <c r="F25" s="330">
        <v>0.152</v>
      </c>
      <c r="G25" s="331">
        <v>24</v>
      </c>
      <c r="I25" s="330">
        <v>0.397</v>
      </c>
      <c r="J25" s="331" t="s">
        <v>120</v>
      </c>
      <c r="L25" s="331" t="s">
        <v>145</v>
      </c>
      <c r="M25" s="330">
        <v>0.375</v>
      </c>
      <c r="O25" s="330">
        <v>0.0173</v>
      </c>
      <c r="P25" s="332">
        <v>0.44</v>
      </c>
      <c r="Q25" s="330">
        <v>1.0433</v>
      </c>
      <c r="R25" s="332">
        <v>26.5</v>
      </c>
      <c r="S25">
        <v>780</v>
      </c>
      <c r="T25" t="s">
        <v>375</v>
      </c>
      <c r="V25" t="str">
        <f t="shared" si="0"/>
        <v>Ampere-hours  &lt;&lt;&lt;&gt;&gt;&gt; Coulombs </v>
      </c>
      <c r="W25" t="s">
        <v>410</v>
      </c>
      <c r="X25" t="s">
        <v>411</v>
      </c>
      <c r="Y25">
        <v>3600</v>
      </c>
    </row>
    <row r="26" spans="1:25" ht="15">
      <c r="A26"/>
      <c r="B26" s="328">
        <v>0.0134</v>
      </c>
      <c r="C26" s="183"/>
      <c r="D26" s="329">
        <v>0.34</v>
      </c>
      <c r="F26" s="330">
        <v>0.1495</v>
      </c>
      <c r="G26" s="331">
        <v>25</v>
      </c>
      <c r="I26" s="330">
        <v>0.404</v>
      </c>
      <c r="J26" s="331" t="s">
        <v>101</v>
      </c>
      <c r="L26" s="331" t="s">
        <v>158</v>
      </c>
      <c r="M26" s="330">
        <v>0.3906</v>
      </c>
      <c r="O26" s="330">
        <v>0.0177</v>
      </c>
      <c r="P26" s="332">
        <v>0.45</v>
      </c>
      <c r="Q26" s="330">
        <v>1.0236</v>
      </c>
      <c r="R26" s="332">
        <v>26</v>
      </c>
      <c r="S26" s="334" t="str">
        <f>INDEX(W2:W896,S25)</f>
        <v>Square Meters </v>
      </c>
      <c r="T26" t="s">
        <v>94</v>
      </c>
      <c r="V26" t="str">
        <f t="shared" si="0"/>
        <v>Ampere-hours  &lt;&lt;&lt;&gt;&gt;&gt; Faradays </v>
      </c>
      <c r="W26" t="s">
        <v>410</v>
      </c>
      <c r="X26" t="s">
        <v>413</v>
      </c>
      <c r="Y26">
        <v>0.03731</v>
      </c>
    </row>
    <row r="27" spans="1:25" ht="15">
      <c r="A27"/>
      <c r="B27" s="328">
        <v>0.0135</v>
      </c>
      <c r="C27" s="183">
        <v>80</v>
      </c>
      <c r="D27" s="329"/>
      <c r="F27" s="330">
        <v>0.147</v>
      </c>
      <c r="G27" s="331">
        <v>26</v>
      </c>
      <c r="I27" s="330">
        <v>0.41300000000000003</v>
      </c>
      <c r="J27" s="331" t="s">
        <v>102</v>
      </c>
      <c r="L27" s="331" t="s">
        <v>165</v>
      </c>
      <c r="M27" s="330">
        <v>0.4062</v>
      </c>
      <c r="O27" s="330">
        <v>0.0181</v>
      </c>
      <c r="P27" s="332">
        <v>0.46</v>
      </c>
      <c r="Q27" s="330">
        <v>1.0039</v>
      </c>
      <c r="R27" s="332">
        <v>25.5</v>
      </c>
      <c r="S27" s="334" t="str">
        <f>INDEX(X2:X896,S25)</f>
        <v>Square Feet </v>
      </c>
      <c r="T27" t="s">
        <v>95</v>
      </c>
      <c r="V27" t="str">
        <f t="shared" si="0"/>
        <v>Ampere-turns  &lt;&lt;&lt;&gt;&gt;&gt; Gilberts </v>
      </c>
      <c r="W27" t="s">
        <v>414</v>
      </c>
      <c r="X27" t="s">
        <v>415</v>
      </c>
      <c r="Y27">
        <v>1.257</v>
      </c>
    </row>
    <row r="28" spans="1:25" ht="15">
      <c r="A28"/>
      <c r="B28" s="328">
        <v>0.0138</v>
      </c>
      <c r="C28" s="183"/>
      <c r="D28" s="329">
        <v>0.35</v>
      </c>
      <c r="F28" s="330">
        <v>0.14400000000000002</v>
      </c>
      <c r="G28" s="331">
        <v>27</v>
      </c>
      <c r="L28" s="331" t="s">
        <v>169</v>
      </c>
      <c r="M28" s="330">
        <v>0.4219</v>
      </c>
      <c r="O28" s="330">
        <v>0.0189</v>
      </c>
      <c r="P28" s="332">
        <v>0.48</v>
      </c>
      <c r="Q28" s="330">
        <v>0.9843</v>
      </c>
      <c r="R28" s="332">
        <v>25</v>
      </c>
      <c r="S28">
        <f>INDEX(Y2:Y896,S25)</f>
        <v>10.76391</v>
      </c>
      <c r="T28" t="s">
        <v>374</v>
      </c>
      <c r="V28" t="str">
        <f t="shared" si="0"/>
        <v>Atmospheres  &lt;&lt;&lt;&gt;&gt;&gt; Cms of Mercury </v>
      </c>
      <c r="W28" t="s">
        <v>416</v>
      </c>
      <c r="X28" t="s">
        <v>417</v>
      </c>
      <c r="Y28">
        <v>76</v>
      </c>
    </row>
    <row r="29" spans="1:25" ht="15">
      <c r="A29"/>
      <c r="B29" s="328">
        <v>0.0142</v>
      </c>
      <c r="C29" s="183"/>
      <c r="D29" s="329">
        <v>0.36</v>
      </c>
      <c r="F29" s="330">
        <v>0.1405</v>
      </c>
      <c r="G29" s="331">
        <v>28</v>
      </c>
      <c r="L29" s="331" t="s">
        <v>172</v>
      </c>
      <c r="M29" s="330">
        <v>0.4375</v>
      </c>
      <c r="O29" s="330">
        <v>0.0197</v>
      </c>
      <c r="P29" s="332">
        <v>0.5</v>
      </c>
      <c r="Q29" s="330">
        <v>0.9646</v>
      </c>
      <c r="R29" s="332">
        <v>24.5</v>
      </c>
      <c r="S29">
        <f>IF(Convert!B6="","",Convert!B6*Data!S28)</f>
        <v>2690.9775</v>
      </c>
      <c r="T29" t="s">
        <v>420</v>
      </c>
      <c r="V29" t="str">
        <f t="shared" si="0"/>
        <v>Atmospheres  &lt;&lt;&lt;&gt;&gt;&gt; Ft. of water (at 4 degrees C)</v>
      </c>
      <c r="W29" t="s">
        <v>416</v>
      </c>
      <c r="X29" t="s">
        <v>418</v>
      </c>
      <c r="Y29">
        <v>33.9</v>
      </c>
    </row>
    <row r="30" spans="1:25" ht="15">
      <c r="A30"/>
      <c r="B30" s="328">
        <v>0.0145</v>
      </c>
      <c r="C30" s="183">
        <v>79</v>
      </c>
      <c r="D30" s="329"/>
      <c r="F30" s="330">
        <v>0.136</v>
      </c>
      <c r="G30" s="331">
        <v>29</v>
      </c>
      <c r="L30" s="331" t="s">
        <v>175</v>
      </c>
      <c r="M30" s="330">
        <v>0.4531</v>
      </c>
      <c r="O30" s="330">
        <v>0.0217</v>
      </c>
      <c r="P30" s="332">
        <v>0.55</v>
      </c>
      <c r="Q30" s="330">
        <v>0.9449</v>
      </c>
      <c r="R30" s="332">
        <v>24</v>
      </c>
      <c r="S30">
        <f>COUNTA(Y2:Y2001)</f>
        <v>881</v>
      </c>
      <c r="T30" t="s">
        <v>422</v>
      </c>
      <c r="V30" t="str">
        <f t="shared" si="0"/>
        <v>Atmospheres  &lt;&lt;&lt;&gt;&gt;&gt; In. of Mercury (at 0 degrees C)</v>
      </c>
      <c r="W30" t="s">
        <v>416</v>
      </c>
      <c r="X30" t="s">
        <v>419</v>
      </c>
      <c r="Y30">
        <v>29.92</v>
      </c>
    </row>
    <row r="31" spans="1:25" ht="15">
      <c r="A31"/>
      <c r="B31" s="328">
        <v>0.015</v>
      </c>
      <c r="C31" s="183"/>
      <c r="D31" s="329">
        <v>0.38</v>
      </c>
      <c r="F31" s="330">
        <v>0.1285</v>
      </c>
      <c r="G31" s="331">
        <v>30</v>
      </c>
      <c r="L31" s="331" t="s">
        <v>178</v>
      </c>
      <c r="M31" s="330">
        <v>0.4688</v>
      </c>
      <c r="O31" s="330">
        <v>0.0236</v>
      </c>
      <c r="P31" s="332">
        <v>0.6</v>
      </c>
      <c r="Q31" s="330">
        <v>0.9252</v>
      </c>
      <c r="R31" s="332">
        <v>23.5</v>
      </c>
      <c r="V31" t="str">
        <f t="shared" si="0"/>
        <v>Atmospheres  &lt;&lt;&lt;&gt;&gt;&gt; Kgs/sq. cm </v>
      </c>
      <c r="W31" t="s">
        <v>416</v>
      </c>
      <c r="X31" t="s">
        <v>421</v>
      </c>
      <c r="Y31">
        <v>1.0333</v>
      </c>
    </row>
    <row r="32" spans="1:25" ht="15">
      <c r="A32" s="338" t="s">
        <v>262</v>
      </c>
      <c r="B32" s="328">
        <v>0.0156</v>
      </c>
      <c r="C32" s="183"/>
      <c r="D32" s="329"/>
      <c r="F32" s="330">
        <v>0.12</v>
      </c>
      <c r="G32" s="331">
        <v>31</v>
      </c>
      <c r="L32" s="331" t="s">
        <v>182</v>
      </c>
      <c r="M32" s="330">
        <v>0.4844</v>
      </c>
      <c r="O32" s="330">
        <v>0.0256</v>
      </c>
      <c r="P32" s="332">
        <v>0.65</v>
      </c>
      <c r="Q32" s="330">
        <v>0.9055</v>
      </c>
      <c r="R32" s="332">
        <v>23</v>
      </c>
      <c r="V32" t="str">
        <f t="shared" si="0"/>
        <v>Atmospheres  &lt;&lt;&lt;&gt;&gt;&gt; Kgs/sq. meter </v>
      </c>
      <c r="W32" t="s">
        <v>416</v>
      </c>
      <c r="X32" t="s">
        <v>423</v>
      </c>
      <c r="Y32">
        <v>10332</v>
      </c>
    </row>
    <row r="33" spans="1:25" ht="15">
      <c r="A33"/>
      <c r="B33" s="328">
        <v>0.0157</v>
      </c>
      <c r="C33" s="183"/>
      <c r="D33" s="329">
        <v>0.4</v>
      </c>
      <c r="F33" s="330">
        <v>0.116</v>
      </c>
      <c r="G33" s="331">
        <v>32</v>
      </c>
      <c r="L33" s="331" t="s">
        <v>185</v>
      </c>
      <c r="M33" s="330">
        <v>0.5</v>
      </c>
      <c r="O33" s="330">
        <v>0.0276</v>
      </c>
      <c r="P33" s="332">
        <v>0.7</v>
      </c>
      <c r="Q33" s="330">
        <v>0.8858</v>
      </c>
      <c r="R33" s="332">
        <v>22.5</v>
      </c>
      <c r="V33" t="str">
        <f t="shared" si="0"/>
        <v>Atmospheres  &lt;&lt;&lt;&gt;&gt;&gt; Pounds/sq. Inch </v>
      </c>
      <c r="W33" t="s">
        <v>416</v>
      </c>
      <c r="X33" t="s">
        <v>424</v>
      </c>
      <c r="Y33">
        <v>14.7</v>
      </c>
    </row>
    <row r="34" spans="1:25" ht="15">
      <c r="A34"/>
      <c r="B34" s="328">
        <v>0.016</v>
      </c>
      <c r="C34" s="183">
        <v>78</v>
      </c>
      <c r="D34" s="329"/>
      <c r="F34" s="330">
        <v>0.113</v>
      </c>
      <c r="G34" s="331">
        <v>33</v>
      </c>
      <c r="L34" s="331" t="s">
        <v>189</v>
      </c>
      <c r="M34" s="330">
        <v>0.5156</v>
      </c>
      <c r="O34" s="330">
        <v>0.0295</v>
      </c>
      <c r="P34" s="332">
        <v>0.75</v>
      </c>
      <c r="Q34" s="330">
        <v>0.8661</v>
      </c>
      <c r="R34" s="332">
        <v>22</v>
      </c>
      <c r="V34" t="str">
        <f t="shared" si="0"/>
        <v>Atmospheres  &lt;&lt;&lt;&gt;&gt;&gt; Ton/sq. Inch </v>
      </c>
      <c r="W34" t="s">
        <v>416</v>
      </c>
      <c r="X34" t="s">
        <v>425</v>
      </c>
      <c r="Y34">
        <v>0.007348</v>
      </c>
    </row>
    <row r="35" spans="1:25" ht="15">
      <c r="A35"/>
      <c r="B35" s="328">
        <v>0.0165</v>
      </c>
      <c r="C35" s="183"/>
      <c r="D35" s="329">
        <v>0.42</v>
      </c>
      <c r="F35" s="330">
        <v>0.111</v>
      </c>
      <c r="G35" s="331">
        <v>34</v>
      </c>
      <c r="L35" s="331" t="s">
        <v>191</v>
      </c>
      <c r="M35" s="330">
        <v>0.5312</v>
      </c>
      <c r="O35" s="330">
        <v>0.0315</v>
      </c>
      <c r="P35" s="332">
        <v>0.8</v>
      </c>
      <c r="Q35" s="330">
        <v>0.8465</v>
      </c>
      <c r="R35" s="332">
        <v>21.5</v>
      </c>
      <c r="V35" t="str">
        <f t="shared" si="0"/>
        <v>Atmospheres  &lt;&lt;&lt;&gt;&gt;&gt; Tons/sq. Foot </v>
      </c>
      <c r="W35" t="s">
        <v>416</v>
      </c>
      <c r="X35" t="s">
        <v>426</v>
      </c>
      <c r="Y35">
        <v>1.058</v>
      </c>
    </row>
    <row r="36" spans="1:25" ht="15">
      <c r="A36"/>
      <c r="B36" s="328">
        <v>0.0173</v>
      </c>
      <c r="C36" s="183"/>
      <c r="D36" s="329">
        <v>0.44</v>
      </c>
      <c r="F36" s="330">
        <v>0.11</v>
      </c>
      <c r="G36" s="331">
        <v>35</v>
      </c>
      <c r="L36" s="331" t="s">
        <v>193</v>
      </c>
      <c r="M36" s="330">
        <v>0.5469</v>
      </c>
      <c r="O36" s="330">
        <v>0.0335</v>
      </c>
      <c r="P36" s="332">
        <v>0.85</v>
      </c>
      <c r="Q36" s="330">
        <v>0.8268</v>
      </c>
      <c r="R36" s="332">
        <v>21</v>
      </c>
      <c r="V36" t="str">
        <f t="shared" si="0"/>
        <v>Barrels (oil)  &lt;&lt;&lt;&gt;&gt;&gt; Gallons (oil) </v>
      </c>
      <c r="W36" t="s">
        <v>427</v>
      </c>
      <c r="X36" t="s">
        <v>428</v>
      </c>
      <c r="Y36">
        <v>42</v>
      </c>
    </row>
    <row r="37" spans="1:25" ht="15">
      <c r="A37"/>
      <c r="B37" s="328">
        <v>0.0177</v>
      </c>
      <c r="C37" s="183"/>
      <c r="D37" s="329">
        <v>0.45</v>
      </c>
      <c r="F37" s="330">
        <v>0.1065</v>
      </c>
      <c r="G37" s="331">
        <v>36</v>
      </c>
      <c r="L37" s="331" t="s">
        <v>196</v>
      </c>
      <c r="M37" s="330">
        <v>0.5625</v>
      </c>
      <c r="O37" s="330">
        <v>0.0354</v>
      </c>
      <c r="P37" s="332">
        <v>0.9</v>
      </c>
      <c r="Q37" s="330">
        <v>0.8071</v>
      </c>
      <c r="R37" s="332">
        <v>20.5</v>
      </c>
      <c r="V37" t="str">
        <f t="shared" si="0"/>
        <v>Barrels (US dry)  &lt;&lt;&lt;&gt;&gt;&gt; Cubic. Inches </v>
      </c>
      <c r="W37" t="s">
        <v>429</v>
      </c>
      <c r="X37" t="s">
        <v>430</v>
      </c>
      <c r="Y37">
        <v>7056</v>
      </c>
    </row>
    <row r="38" spans="1:25" ht="15">
      <c r="A38"/>
      <c r="B38" s="328">
        <v>0.018</v>
      </c>
      <c r="C38" s="183">
        <v>77</v>
      </c>
      <c r="D38" s="329"/>
      <c r="F38" s="330">
        <v>0.10400000000000001</v>
      </c>
      <c r="G38" s="331">
        <v>37</v>
      </c>
      <c r="L38" s="331" t="s">
        <v>200</v>
      </c>
      <c r="M38" s="330">
        <v>0.5781</v>
      </c>
      <c r="O38" s="330">
        <v>0.0374</v>
      </c>
      <c r="P38" s="332">
        <v>0.95</v>
      </c>
      <c r="Q38" s="330">
        <v>0.7874</v>
      </c>
      <c r="R38" s="332">
        <v>20</v>
      </c>
      <c r="V38" t="str">
        <f t="shared" si="0"/>
        <v>Barrels (US dry)  &lt;&lt;&lt;&gt;&gt;&gt; Quarts (dry) </v>
      </c>
      <c r="W38" t="s">
        <v>429</v>
      </c>
      <c r="X38" t="s">
        <v>431</v>
      </c>
      <c r="Y38">
        <v>105</v>
      </c>
    </row>
    <row r="39" spans="1:25" ht="15">
      <c r="A39"/>
      <c r="B39" s="328">
        <v>0.0181</v>
      </c>
      <c r="C39" s="183"/>
      <c r="D39" s="329">
        <v>0.46</v>
      </c>
      <c r="F39" s="330">
        <v>0.1015</v>
      </c>
      <c r="G39" s="331">
        <v>38</v>
      </c>
      <c r="L39" s="331" t="s">
        <v>204</v>
      </c>
      <c r="M39" s="330">
        <v>0.5938</v>
      </c>
      <c r="O39" s="330">
        <v>0.0394</v>
      </c>
      <c r="P39" s="332">
        <v>1</v>
      </c>
      <c r="Q39" s="330">
        <v>0.7677</v>
      </c>
      <c r="R39" s="332">
        <v>19.5</v>
      </c>
      <c r="V39" t="str">
        <f t="shared" si="0"/>
        <v>Barrels (US, liquid)  &lt;&lt;&lt;&gt;&gt;&gt; Barrels (US, dry) </v>
      </c>
      <c r="W39" t="s">
        <v>432</v>
      </c>
      <c r="X39" t="s">
        <v>433</v>
      </c>
      <c r="Y39">
        <v>1.03125</v>
      </c>
    </row>
    <row r="40" spans="1:25" ht="15">
      <c r="A40"/>
      <c r="B40" s="328">
        <v>0.0189</v>
      </c>
      <c r="C40" s="183"/>
      <c r="D40" s="329">
        <v>0.48</v>
      </c>
      <c r="F40" s="330">
        <v>0.0995</v>
      </c>
      <c r="G40" s="331">
        <v>39</v>
      </c>
      <c r="L40" s="331" t="s">
        <v>207</v>
      </c>
      <c r="M40" s="330">
        <v>0.6094</v>
      </c>
      <c r="O40" s="330">
        <v>0.0413</v>
      </c>
      <c r="P40" s="332">
        <v>1.05</v>
      </c>
      <c r="Q40" s="330">
        <v>0.748</v>
      </c>
      <c r="R40" s="332">
        <v>19</v>
      </c>
      <c r="V40" t="str">
        <f t="shared" si="0"/>
        <v>Barrels (US, liquid)  &lt;&lt;&lt;&gt;&gt;&gt; Gallons </v>
      </c>
      <c r="W40" t="s">
        <v>432</v>
      </c>
      <c r="X40" t="s">
        <v>434</v>
      </c>
      <c r="Y40">
        <v>31.5</v>
      </c>
    </row>
    <row r="41" spans="1:25" ht="15">
      <c r="A41"/>
      <c r="B41" s="328">
        <v>0.0197</v>
      </c>
      <c r="C41" s="183"/>
      <c r="D41" s="329">
        <v>0.5</v>
      </c>
      <c r="F41" s="330">
        <v>0.098</v>
      </c>
      <c r="G41" s="331">
        <v>40</v>
      </c>
      <c r="L41" s="331" t="s">
        <v>209</v>
      </c>
      <c r="M41" s="330">
        <v>0.625</v>
      </c>
      <c r="O41" s="330">
        <v>0.043300000000000005</v>
      </c>
      <c r="P41" s="332">
        <v>1.1</v>
      </c>
      <c r="Q41" s="330">
        <v>0.7283</v>
      </c>
      <c r="R41" s="332">
        <v>18.5</v>
      </c>
      <c r="V41" t="str">
        <f t="shared" si="0"/>
        <v>Bars &lt;&lt;&lt;&gt;&gt;&gt; Pounds/sq. Inch </v>
      </c>
      <c r="W41" t="s">
        <v>435</v>
      </c>
      <c r="X41" t="s">
        <v>424</v>
      </c>
      <c r="Y41">
        <v>14.5</v>
      </c>
    </row>
    <row r="42" spans="1:25" ht="15">
      <c r="A42"/>
      <c r="B42" s="328">
        <v>0.02</v>
      </c>
      <c r="C42" s="183">
        <v>76</v>
      </c>
      <c r="D42" s="329"/>
      <c r="F42" s="330">
        <v>0.096</v>
      </c>
      <c r="G42" s="331">
        <v>41</v>
      </c>
      <c r="L42" s="331" t="s">
        <v>211</v>
      </c>
      <c r="M42" s="330">
        <v>0.6406</v>
      </c>
      <c r="O42" s="330">
        <v>0.0453</v>
      </c>
      <c r="P42" s="332">
        <v>1.15</v>
      </c>
      <c r="Q42" s="330">
        <v>0.7087</v>
      </c>
      <c r="R42" s="332">
        <v>18</v>
      </c>
      <c r="V42" t="str">
        <f t="shared" si="0"/>
        <v>Bars  &lt;&lt;&lt;&gt;&gt;&gt; Atmospheres </v>
      </c>
      <c r="W42" t="s">
        <v>436</v>
      </c>
      <c r="X42" t="s">
        <v>416</v>
      </c>
      <c r="Y42">
        <v>0.9869</v>
      </c>
    </row>
    <row r="43" spans="1:25" ht="15">
      <c r="A43"/>
      <c r="B43" s="328">
        <v>0.021</v>
      </c>
      <c r="C43" s="183">
        <v>75</v>
      </c>
      <c r="D43" s="329"/>
      <c r="F43" s="330">
        <v>0.0935</v>
      </c>
      <c r="G43" s="331">
        <v>42</v>
      </c>
      <c r="L43" s="331" t="s">
        <v>215</v>
      </c>
      <c r="M43" s="330">
        <v>0.6562</v>
      </c>
      <c r="O43" s="330">
        <v>0.0472</v>
      </c>
      <c r="P43" s="332">
        <v>1.2</v>
      </c>
      <c r="Q43" s="330">
        <v>0.6890000000000001</v>
      </c>
      <c r="R43" s="332">
        <v>17.5</v>
      </c>
      <c r="V43" t="str">
        <f t="shared" si="0"/>
        <v>Bars  &lt;&lt;&lt;&gt;&gt;&gt; Dynes/sq. cm </v>
      </c>
      <c r="W43" t="s">
        <v>436</v>
      </c>
      <c r="X43" t="s">
        <v>437</v>
      </c>
      <c r="Y43">
        <v>1000000</v>
      </c>
    </row>
    <row r="44" spans="1:25" ht="15">
      <c r="A44"/>
      <c r="B44" s="328">
        <v>0.0217</v>
      </c>
      <c r="C44" s="183"/>
      <c r="D44" s="329">
        <v>0.55</v>
      </c>
      <c r="F44" s="330">
        <v>0.089</v>
      </c>
      <c r="G44" s="331">
        <v>43</v>
      </c>
      <c r="L44" s="331" t="s">
        <v>218</v>
      </c>
      <c r="M44" s="330">
        <v>0.6719</v>
      </c>
      <c r="O44" s="330">
        <v>0.0492</v>
      </c>
      <c r="P44" s="332">
        <v>1.25</v>
      </c>
      <c r="Q44" s="330">
        <v>0.6693</v>
      </c>
      <c r="R44" s="332">
        <v>17</v>
      </c>
      <c r="V44" t="str">
        <f t="shared" si="0"/>
        <v>Bars  &lt;&lt;&lt;&gt;&gt;&gt; Kgs/sq. meter </v>
      </c>
      <c r="W44" t="s">
        <v>436</v>
      </c>
      <c r="X44" t="s">
        <v>423</v>
      </c>
      <c r="Y44">
        <v>10200</v>
      </c>
    </row>
    <row r="45" spans="1:25" ht="15">
      <c r="A45"/>
      <c r="B45" s="328">
        <v>0.0225</v>
      </c>
      <c r="C45" s="183">
        <v>74</v>
      </c>
      <c r="D45" s="329"/>
      <c r="F45" s="330">
        <v>0.08600000000000001</v>
      </c>
      <c r="G45" s="331">
        <v>44</v>
      </c>
      <c r="L45" s="331" t="s">
        <v>220</v>
      </c>
      <c r="M45" s="330">
        <v>0.6875</v>
      </c>
      <c r="O45" s="330">
        <v>0.0512</v>
      </c>
      <c r="P45" s="332">
        <v>1.3</v>
      </c>
      <c r="Q45" s="330">
        <v>0.6496</v>
      </c>
      <c r="R45" s="332">
        <v>16.5</v>
      </c>
      <c r="V45" t="str">
        <f t="shared" si="0"/>
        <v>Bars  &lt;&lt;&lt;&gt;&gt;&gt; Pounds/sq. Foot </v>
      </c>
      <c r="W45" t="s">
        <v>436</v>
      </c>
      <c r="X45" t="s">
        <v>438</v>
      </c>
      <c r="Y45">
        <v>2089</v>
      </c>
    </row>
    <row r="46" spans="1:25" ht="15">
      <c r="A46"/>
      <c r="B46" s="328">
        <v>0.0236</v>
      </c>
      <c r="C46" s="183"/>
      <c r="D46" s="329">
        <v>0.6</v>
      </c>
      <c r="F46" s="330">
        <v>0.082</v>
      </c>
      <c r="G46" s="331">
        <v>45</v>
      </c>
      <c r="L46" s="331" t="s">
        <v>223</v>
      </c>
      <c r="M46" s="330">
        <v>0.7031</v>
      </c>
      <c r="O46" s="330">
        <v>0.0531</v>
      </c>
      <c r="P46" s="332">
        <v>1.35</v>
      </c>
      <c r="Q46" s="330">
        <v>0.6299</v>
      </c>
      <c r="R46" s="332">
        <v>16</v>
      </c>
      <c r="V46" t="str">
        <f t="shared" si="0"/>
        <v>Bolt of cloth &lt;&lt;&lt;&gt;&gt;&gt; Ells</v>
      </c>
      <c r="W46" t="s">
        <v>439</v>
      </c>
      <c r="X46" t="s">
        <v>440</v>
      </c>
      <c r="Y46">
        <v>32</v>
      </c>
    </row>
    <row r="47" spans="1:25" ht="15">
      <c r="A47"/>
      <c r="B47" s="328">
        <v>0.024</v>
      </c>
      <c r="C47" s="183">
        <v>73</v>
      </c>
      <c r="D47" s="329"/>
      <c r="F47" s="330">
        <v>0.081</v>
      </c>
      <c r="G47" s="331">
        <v>46</v>
      </c>
      <c r="L47" s="331" t="s">
        <v>227</v>
      </c>
      <c r="M47" s="330">
        <v>0.7188</v>
      </c>
      <c r="O47" s="330">
        <v>0.0551</v>
      </c>
      <c r="P47" s="332">
        <v>1.4</v>
      </c>
      <c r="Q47" s="330">
        <v>0.6102</v>
      </c>
      <c r="R47" s="332">
        <v>15.5</v>
      </c>
      <c r="V47" t="str">
        <f t="shared" si="0"/>
        <v>Bolt of cloth &lt;&lt;&lt;&gt;&gt;&gt; Linear feet</v>
      </c>
      <c r="W47" t="s">
        <v>439</v>
      </c>
      <c r="X47" t="s">
        <v>441</v>
      </c>
      <c r="Y47">
        <v>120</v>
      </c>
    </row>
    <row r="48" spans="1:25" ht="15">
      <c r="A48"/>
      <c r="B48" s="328">
        <v>0.025</v>
      </c>
      <c r="C48" s="183">
        <v>72</v>
      </c>
      <c r="D48" s="329"/>
      <c r="F48" s="330">
        <v>0.0785</v>
      </c>
      <c r="G48" s="331">
        <v>47</v>
      </c>
      <c r="L48" s="331" t="s">
        <v>230</v>
      </c>
      <c r="M48" s="330">
        <v>0.7344</v>
      </c>
      <c r="O48" s="330">
        <v>0.057100000000000005</v>
      </c>
      <c r="P48" s="332">
        <v>1.45</v>
      </c>
      <c r="Q48" s="330">
        <v>0.5906</v>
      </c>
      <c r="R48" s="332">
        <v>15</v>
      </c>
      <c r="V48" t="str">
        <f t="shared" si="0"/>
        <v>Bolt of cloth &lt;&lt;&lt;&gt;&gt;&gt; Meters</v>
      </c>
      <c r="W48" t="s">
        <v>439</v>
      </c>
      <c r="X48" t="s">
        <v>64</v>
      </c>
      <c r="Y48">
        <v>36.576</v>
      </c>
    </row>
    <row r="49" spans="1:25" ht="15">
      <c r="A49"/>
      <c r="B49" s="328">
        <v>0.0256</v>
      </c>
      <c r="C49" s="183"/>
      <c r="D49" s="329">
        <v>0.65</v>
      </c>
      <c r="F49" s="330">
        <v>0.076</v>
      </c>
      <c r="G49" s="331">
        <v>48</v>
      </c>
      <c r="L49" s="331" t="s">
        <v>233</v>
      </c>
      <c r="M49" s="330">
        <v>0.75</v>
      </c>
      <c r="O49" s="330">
        <v>0.0591</v>
      </c>
      <c r="P49" s="332">
        <v>1.5</v>
      </c>
      <c r="Q49" s="330">
        <v>0.5709</v>
      </c>
      <c r="R49" s="332">
        <v>14.5</v>
      </c>
      <c r="V49" t="str">
        <f t="shared" si="0"/>
        <v>BTU  &lt;&lt;&lt;&gt;&gt;&gt; Ergs </v>
      </c>
      <c r="W49" t="s">
        <v>442</v>
      </c>
      <c r="X49" t="s">
        <v>443</v>
      </c>
      <c r="Y49">
        <v>10600000000</v>
      </c>
    </row>
    <row r="50" spans="1:25" ht="15">
      <c r="A50"/>
      <c r="B50" s="328">
        <v>0.026</v>
      </c>
      <c r="C50" s="183">
        <v>71</v>
      </c>
      <c r="D50" s="329"/>
      <c r="F50" s="330">
        <v>0.073</v>
      </c>
      <c r="G50" s="331">
        <v>49</v>
      </c>
      <c r="L50" s="331" t="s">
        <v>236</v>
      </c>
      <c r="M50" s="330">
        <v>0.7656</v>
      </c>
      <c r="O50" s="330">
        <v>0.061000000000000006</v>
      </c>
      <c r="P50" s="332">
        <v>1.55</v>
      </c>
      <c r="Q50" s="330">
        <v>0.5512</v>
      </c>
      <c r="R50" s="332">
        <v>14</v>
      </c>
      <c r="V50" t="str">
        <f t="shared" si="0"/>
        <v>BTU  &lt;&lt;&lt;&gt;&gt;&gt; Foot-lbs </v>
      </c>
      <c r="W50" t="s">
        <v>442</v>
      </c>
      <c r="X50" t="s">
        <v>444</v>
      </c>
      <c r="Y50">
        <v>778.3</v>
      </c>
    </row>
    <row r="51" spans="1:25" ht="15">
      <c r="A51"/>
      <c r="B51" s="328">
        <v>0.0276</v>
      </c>
      <c r="C51" s="183"/>
      <c r="D51" s="329">
        <v>0.7</v>
      </c>
      <c r="F51" s="330">
        <v>0.07</v>
      </c>
      <c r="G51" s="331">
        <v>50</v>
      </c>
      <c r="L51" s="331" t="s">
        <v>239</v>
      </c>
      <c r="M51" s="330">
        <v>0.7812</v>
      </c>
      <c r="O51" s="330">
        <v>0.063</v>
      </c>
      <c r="P51" s="332">
        <v>1.6</v>
      </c>
      <c r="Q51" s="330">
        <v>0.5315</v>
      </c>
      <c r="R51" s="332">
        <v>13.5</v>
      </c>
      <c r="V51" t="str">
        <f t="shared" si="0"/>
        <v>BTU  &lt;&lt;&lt;&gt;&gt;&gt; Gram-Calories </v>
      </c>
      <c r="W51" t="s">
        <v>442</v>
      </c>
      <c r="X51" t="s">
        <v>445</v>
      </c>
      <c r="Y51">
        <v>252</v>
      </c>
    </row>
    <row r="52" spans="1:25" ht="15">
      <c r="A52"/>
      <c r="B52" s="328">
        <v>0.028</v>
      </c>
      <c r="C52" s="183">
        <v>70</v>
      </c>
      <c r="D52" s="329"/>
      <c r="F52" s="330">
        <v>0.067</v>
      </c>
      <c r="G52" s="331">
        <v>51</v>
      </c>
      <c r="L52" s="331" t="s">
        <v>241</v>
      </c>
      <c r="M52" s="330">
        <v>0.7969</v>
      </c>
      <c r="O52" s="330">
        <v>0.065</v>
      </c>
      <c r="P52" s="332">
        <v>1.65</v>
      </c>
      <c r="Q52" s="330">
        <v>0.5118</v>
      </c>
      <c r="R52" s="332">
        <v>13</v>
      </c>
      <c r="V52" t="str">
        <f t="shared" si="0"/>
        <v>BTU  &lt;&lt;&lt;&gt;&gt;&gt; HorsePower-Hours </v>
      </c>
      <c r="W52" t="s">
        <v>442</v>
      </c>
      <c r="X52" t="s">
        <v>446</v>
      </c>
      <c r="Y52">
        <v>0.0003931</v>
      </c>
    </row>
    <row r="53" spans="1:25" ht="15">
      <c r="A53"/>
      <c r="B53" s="328">
        <v>0.0292</v>
      </c>
      <c r="C53" s="183">
        <v>69</v>
      </c>
      <c r="D53" s="329"/>
      <c r="F53" s="330">
        <v>0.0635</v>
      </c>
      <c r="G53" s="331">
        <v>52</v>
      </c>
      <c r="L53" s="331" t="s">
        <v>244</v>
      </c>
      <c r="M53" s="330">
        <v>0.8125</v>
      </c>
      <c r="O53" s="330">
        <v>0.0669</v>
      </c>
      <c r="P53" s="332">
        <v>1.7</v>
      </c>
      <c r="Q53" s="330">
        <v>0.4921</v>
      </c>
      <c r="R53" s="332">
        <v>12.5</v>
      </c>
      <c r="V53" t="str">
        <f t="shared" si="0"/>
        <v>BTU  &lt;&lt;&lt;&gt;&gt;&gt; Joules </v>
      </c>
      <c r="W53" t="s">
        <v>442</v>
      </c>
      <c r="X53" t="s">
        <v>447</v>
      </c>
      <c r="Y53">
        <v>1054.8</v>
      </c>
    </row>
    <row r="54" spans="1:25" ht="15">
      <c r="A54"/>
      <c r="B54" s="328">
        <v>0.0295</v>
      </c>
      <c r="C54" s="183"/>
      <c r="D54" s="329">
        <v>0.75</v>
      </c>
      <c r="F54" s="330">
        <v>0.059500000000000004</v>
      </c>
      <c r="G54" s="331">
        <v>53</v>
      </c>
      <c r="L54" s="331" t="s">
        <v>249</v>
      </c>
      <c r="M54" s="330">
        <v>0.8281</v>
      </c>
      <c r="O54" s="330">
        <v>0.0689</v>
      </c>
      <c r="P54" s="332">
        <v>1.75</v>
      </c>
      <c r="Q54" s="330">
        <v>0.4724</v>
      </c>
      <c r="R54" s="332">
        <v>12</v>
      </c>
      <c r="V54" t="str">
        <f t="shared" si="0"/>
        <v>BTU  &lt;&lt;&lt;&gt;&gt;&gt; Kilogram-Calories </v>
      </c>
      <c r="W54" t="s">
        <v>442</v>
      </c>
      <c r="X54" t="s">
        <v>448</v>
      </c>
      <c r="Y54">
        <v>0.252</v>
      </c>
    </row>
    <row r="55" spans="1:25" ht="15">
      <c r="A55"/>
      <c r="B55" s="328">
        <v>0.031</v>
      </c>
      <c r="C55" s="183">
        <v>68</v>
      </c>
      <c r="D55" s="329"/>
      <c r="F55" s="330">
        <v>0.055</v>
      </c>
      <c r="G55" s="331">
        <v>54</v>
      </c>
      <c r="L55" s="331" t="s">
        <v>251</v>
      </c>
      <c r="M55" s="330">
        <v>0.8438</v>
      </c>
      <c r="O55" s="330">
        <v>0.0709</v>
      </c>
      <c r="P55" s="332">
        <v>1.8</v>
      </c>
      <c r="Q55" s="330">
        <v>0.4528</v>
      </c>
      <c r="R55" s="332">
        <v>11.5</v>
      </c>
      <c r="V55" t="str">
        <f t="shared" si="0"/>
        <v>BTU  &lt;&lt;&lt;&gt;&gt;&gt; Kilogram-meters </v>
      </c>
      <c r="W55" t="s">
        <v>442</v>
      </c>
      <c r="X55" t="s">
        <v>449</v>
      </c>
      <c r="Y55">
        <v>107.5</v>
      </c>
    </row>
    <row r="56" spans="1:25" ht="15">
      <c r="A56" s="338" t="s">
        <v>263</v>
      </c>
      <c r="B56" s="328">
        <v>0.0312</v>
      </c>
      <c r="C56" s="183"/>
      <c r="D56" s="329"/>
      <c r="F56" s="330">
        <v>0.052000000000000005</v>
      </c>
      <c r="G56" s="331">
        <v>55</v>
      </c>
      <c r="L56" s="331" t="s">
        <v>254</v>
      </c>
      <c r="M56" s="330">
        <v>0.8594</v>
      </c>
      <c r="O56" s="330">
        <v>0.0728</v>
      </c>
      <c r="P56" s="332">
        <v>1.85</v>
      </c>
      <c r="Q56" s="330">
        <v>0.4331</v>
      </c>
      <c r="R56" s="332">
        <v>11</v>
      </c>
      <c r="V56" t="str">
        <f t="shared" si="0"/>
        <v>BTU  &lt;&lt;&lt;&gt;&gt;&gt; Kilowatt-Hours </v>
      </c>
      <c r="W56" t="s">
        <v>442</v>
      </c>
      <c r="X56" t="s">
        <v>450</v>
      </c>
      <c r="Y56">
        <v>0.0002928</v>
      </c>
    </row>
    <row r="57" spans="1:25" ht="15">
      <c r="A57"/>
      <c r="B57" s="328">
        <v>0.0315</v>
      </c>
      <c r="C57" s="183"/>
      <c r="D57" s="329">
        <v>0.8</v>
      </c>
      <c r="F57" s="330">
        <v>0.0465</v>
      </c>
      <c r="G57" s="331">
        <v>56</v>
      </c>
      <c r="L57" s="331" t="s">
        <v>256</v>
      </c>
      <c r="M57" s="330">
        <v>0.875</v>
      </c>
      <c r="O57" s="330">
        <v>0.0748</v>
      </c>
      <c r="P57" s="332">
        <v>1.9</v>
      </c>
      <c r="Q57" s="330">
        <v>0.4134</v>
      </c>
      <c r="R57" s="332">
        <v>10.5</v>
      </c>
      <c r="V57" t="str">
        <f t="shared" si="0"/>
        <v>BTU/Hour  &lt;&lt;&lt;&gt;&gt;&gt; Foot-pounds/Second </v>
      </c>
      <c r="W57" t="s">
        <v>451</v>
      </c>
      <c r="X57" t="s">
        <v>452</v>
      </c>
      <c r="Y57">
        <v>0.2162</v>
      </c>
    </row>
    <row r="58" spans="1:25" ht="15">
      <c r="A58"/>
      <c r="B58" s="328">
        <v>0.032</v>
      </c>
      <c r="C58" s="183">
        <v>67</v>
      </c>
      <c r="D58" s="329"/>
      <c r="F58" s="330">
        <v>0.043000000000000003</v>
      </c>
      <c r="G58" s="331">
        <v>57</v>
      </c>
      <c r="L58" s="331" t="s">
        <v>259</v>
      </c>
      <c r="M58" s="330">
        <v>0.8906</v>
      </c>
      <c r="O58" s="330">
        <v>0.07680000000000001</v>
      </c>
      <c r="P58" s="332">
        <v>1.95</v>
      </c>
      <c r="Q58" s="330">
        <v>0.3937</v>
      </c>
      <c r="R58" s="332">
        <v>10</v>
      </c>
      <c r="V58" t="str">
        <f t="shared" si="0"/>
        <v>BTU/Hour  &lt;&lt;&lt;&gt;&gt;&gt; Gram-cal/Second </v>
      </c>
      <c r="W58" t="s">
        <v>451</v>
      </c>
      <c r="X58" t="s">
        <v>453</v>
      </c>
      <c r="Y58">
        <v>0.07</v>
      </c>
    </row>
    <row r="59" spans="1:25" ht="15">
      <c r="A59"/>
      <c r="B59" s="328">
        <v>0.033</v>
      </c>
      <c r="C59" s="183">
        <v>66</v>
      </c>
      <c r="D59" s="329"/>
      <c r="F59" s="330">
        <v>0.042</v>
      </c>
      <c r="G59" s="331">
        <v>58</v>
      </c>
      <c r="L59" s="331" t="s">
        <v>146</v>
      </c>
      <c r="M59" s="330">
        <v>0.9062</v>
      </c>
      <c r="O59" s="330">
        <v>0.0787</v>
      </c>
      <c r="P59" s="332">
        <v>2</v>
      </c>
      <c r="Q59" s="330">
        <v>0.3898</v>
      </c>
      <c r="R59" s="332">
        <v>9.9</v>
      </c>
      <c r="V59" t="str">
        <f t="shared" si="0"/>
        <v>BTU/Hour  &lt;&lt;&lt;&gt;&gt;&gt; HorsePower-Hours </v>
      </c>
      <c r="W59" t="s">
        <v>451</v>
      </c>
      <c r="X59" t="s">
        <v>446</v>
      </c>
      <c r="Y59">
        <v>0.0003929</v>
      </c>
    </row>
    <row r="60" spans="1:25" ht="15">
      <c r="A60"/>
      <c r="B60" s="328">
        <v>0.0335</v>
      </c>
      <c r="C60" s="183"/>
      <c r="D60" s="329">
        <v>0.85</v>
      </c>
      <c r="F60" s="330">
        <v>0.041</v>
      </c>
      <c r="G60" s="331">
        <v>59</v>
      </c>
      <c r="L60" s="331" t="s">
        <v>149</v>
      </c>
      <c r="M60" s="330">
        <v>0.9219</v>
      </c>
      <c r="O60" s="330">
        <v>0.08070000000000001</v>
      </c>
      <c r="P60" s="332">
        <v>2.05</v>
      </c>
      <c r="Q60" s="330">
        <v>0.3858</v>
      </c>
      <c r="R60" s="332">
        <v>9.8</v>
      </c>
      <c r="V60" t="str">
        <f t="shared" si="0"/>
        <v>BTU/Hour  &lt;&lt;&lt;&gt;&gt;&gt; Watts </v>
      </c>
      <c r="W60" t="s">
        <v>451</v>
      </c>
      <c r="X60" t="s">
        <v>454</v>
      </c>
      <c r="Y60">
        <v>0.2931</v>
      </c>
    </row>
    <row r="61" spans="1:25" ht="15">
      <c r="A61"/>
      <c r="B61" s="328">
        <v>0.035</v>
      </c>
      <c r="C61" s="183">
        <v>65</v>
      </c>
      <c r="D61" s="329"/>
      <c r="F61" s="330">
        <v>0.04</v>
      </c>
      <c r="G61" s="331">
        <v>60</v>
      </c>
      <c r="L61" s="331" t="s">
        <v>151</v>
      </c>
      <c r="M61" s="330">
        <v>0.9375</v>
      </c>
      <c r="O61" s="330">
        <v>0.08270000000000001</v>
      </c>
      <c r="P61" s="332">
        <v>2.1</v>
      </c>
      <c r="Q61" s="330">
        <v>0.3839</v>
      </c>
      <c r="R61" s="332">
        <v>9.75</v>
      </c>
      <c r="V61" t="str">
        <f t="shared" si="0"/>
        <v>BTU/Minute  &lt;&lt;&lt;&gt;&gt;&gt; Foot-lbs/Second </v>
      </c>
      <c r="W61" t="s">
        <v>455</v>
      </c>
      <c r="X61" t="s">
        <v>456</v>
      </c>
      <c r="Y61">
        <v>12.96</v>
      </c>
    </row>
    <row r="62" spans="1:25" ht="15">
      <c r="A62"/>
      <c r="B62" s="328">
        <v>0.0354</v>
      </c>
      <c r="C62" s="183"/>
      <c r="D62" s="329">
        <v>0.9</v>
      </c>
      <c r="F62" s="330">
        <v>0.039</v>
      </c>
      <c r="G62" s="331">
        <v>61</v>
      </c>
      <c r="L62" s="331" t="s">
        <v>153</v>
      </c>
      <c r="M62" s="330">
        <v>0.9531</v>
      </c>
      <c r="O62" s="330">
        <v>0.08460000000000001</v>
      </c>
      <c r="P62" s="332">
        <v>2.15</v>
      </c>
      <c r="Q62" s="330">
        <v>0.3819</v>
      </c>
      <c r="R62" s="332">
        <v>9.7</v>
      </c>
      <c r="V62" t="str">
        <f t="shared" si="0"/>
        <v>BTU/Minute  &lt;&lt;&lt;&gt;&gt;&gt; HorsePower </v>
      </c>
      <c r="W62" t="s">
        <v>455</v>
      </c>
      <c r="X62" t="s">
        <v>457</v>
      </c>
      <c r="Y62">
        <v>0.02356</v>
      </c>
    </row>
    <row r="63" spans="1:25" ht="15">
      <c r="A63"/>
      <c r="B63" s="328">
        <v>0.036</v>
      </c>
      <c r="C63" s="183">
        <v>64</v>
      </c>
      <c r="D63" s="329"/>
      <c r="F63" s="330">
        <v>0.038</v>
      </c>
      <c r="G63" s="331">
        <v>62</v>
      </c>
      <c r="L63" s="331" t="s">
        <v>156</v>
      </c>
      <c r="M63" s="330">
        <v>0.9688</v>
      </c>
      <c r="O63" s="330">
        <v>0.08660000000000001</v>
      </c>
      <c r="P63" s="332">
        <v>2.2</v>
      </c>
      <c r="Q63" s="330">
        <v>0.378</v>
      </c>
      <c r="R63" s="332">
        <v>9.6</v>
      </c>
      <c r="V63" t="str">
        <f t="shared" si="0"/>
        <v>BTU/Minute  &lt;&lt;&lt;&gt;&gt;&gt; Kilowatts </v>
      </c>
      <c r="W63" t="s">
        <v>455</v>
      </c>
      <c r="X63" t="s">
        <v>458</v>
      </c>
      <c r="Y63">
        <v>0.01757</v>
      </c>
    </row>
    <row r="64" spans="1:25" ht="15">
      <c r="A64"/>
      <c r="B64" s="328">
        <v>0.037</v>
      </c>
      <c r="C64" s="183">
        <v>63</v>
      </c>
      <c r="D64" s="329"/>
      <c r="F64" s="330">
        <v>0.037</v>
      </c>
      <c r="G64" s="331">
        <v>63</v>
      </c>
      <c r="L64" s="331" t="s">
        <v>161</v>
      </c>
      <c r="M64" s="330">
        <v>0.9844</v>
      </c>
      <c r="O64" s="330">
        <v>0.0886</v>
      </c>
      <c r="P64" s="332">
        <v>2.25</v>
      </c>
      <c r="Q64" s="330">
        <v>0.374</v>
      </c>
      <c r="R64" s="332">
        <v>9.5</v>
      </c>
      <c r="V64" t="str">
        <f t="shared" si="0"/>
        <v>BTU/Minute  &lt;&lt;&lt;&gt;&gt;&gt; Watts </v>
      </c>
      <c r="W64" t="s">
        <v>455</v>
      </c>
      <c r="X64" t="s">
        <v>454</v>
      </c>
      <c r="Y64">
        <v>17.57</v>
      </c>
    </row>
    <row r="65" spans="1:25" ht="15">
      <c r="A65"/>
      <c r="B65" s="328">
        <v>0.0374</v>
      </c>
      <c r="C65" s="183"/>
      <c r="D65" s="329">
        <v>0.95</v>
      </c>
      <c r="F65" s="330">
        <v>0.036</v>
      </c>
      <c r="G65" s="331">
        <v>64</v>
      </c>
      <c r="L65" s="331" t="s">
        <v>163</v>
      </c>
      <c r="M65" s="330">
        <v>1</v>
      </c>
      <c r="O65" s="330">
        <v>0.0906</v>
      </c>
      <c r="P65" s="332">
        <v>2.3</v>
      </c>
      <c r="Q65" s="330">
        <v>0.3701</v>
      </c>
      <c r="R65" s="332">
        <v>9.4</v>
      </c>
      <c r="V65" t="str">
        <f t="shared" si="0"/>
        <v>BTU/Square Foot/Minute  &lt;&lt;&lt;&gt;&gt;&gt; watts/Square in </v>
      </c>
      <c r="W65" t="s">
        <v>459</v>
      </c>
      <c r="X65" t="s">
        <v>460</v>
      </c>
      <c r="Y65">
        <v>0.1221</v>
      </c>
    </row>
    <row r="66" spans="1:25" ht="15">
      <c r="A66"/>
      <c r="B66" s="328">
        <v>0.038</v>
      </c>
      <c r="C66" s="183">
        <v>62</v>
      </c>
      <c r="D66" s="329"/>
      <c r="F66" s="330">
        <v>0.035</v>
      </c>
      <c r="G66" s="331">
        <v>65</v>
      </c>
      <c r="L66" s="331" t="s">
        <v>166</v>
      </c>
      <c r="M66" s="330">
        <v>1.0156</v>
      </c>
      <c r="O66" s="330">
        <v>0.0925</v>
      </c>
      <c r="P66" s="332">
        <v>2.35</v>
      </c>
      <c r="Q66" s="330">
        <v>0.3661</v>
      </c>
      <c r="R66" s="332">
        <v>9.3</v>
      </c>
      <c r="V66" t="str">
        <f t="shared" si="0"/>
        <v>Bushels  &lt;&lt;&lt;&gt;&gt;&gt; Cubic Feet </v>
      </c>
      <c r="W66" t="s">
        <v>461</v>
      </c>
      <c r="X66" t="s">
        <v>402</v>
      </c>
      <c r="Y66">
        <v>1.2445</v>
      </c>
    </row>
    <row r="67" spans="1:25" ht="15">
      <c r="A67"/>
      <c r="B67" s="328">
        <v>0.039</v>
      </c>
      <c r="C67" s="183">
        <v>61</v>
      </c>
      <c r="D67" s="329"/>
      <c r="F67" s="330">
        <v>0.033</v>
      </c>
      <c r="G67" s="331">
        <v>66</v>
      </c>
      <c r="L67" s="331" t="s">
        <v>168</v>
      </c>
      <c r="M67" s="330">
        <v>1.0312</v>
      </c>
      <c r="O67" s="330">
        <v>0.0945</v>
      </c>
      <c r="P67" s="332">
        <v>2.4</v>
      </c>
      <c r="Q67" s="330">
        <v>0.3642</v>
      </c>
      <c r="R67" s="332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461</v>
      </c>
      <c r="X67" t="s">
        <v>462</v>
      </c>
      <c r="Y67">
        <v>2150.4</v>
      </c>
    </row>
    <row r="68" spans="1:25" ht="15">
      <c r="A68"/>
      <c r="B68" s="328">
        <v>0.0394</v>
      </c>
      <c r="C68" s="183"/>
      <c r="D68" s="329">
        <v>1</v>
      </c>
      <c r="F68" s="330">
        <v>0.032</v>
      </c>
      <c r="G68" s="331">
        <v>67</v>
      </c>
      <c r="L68" s="331" t="s">
        <v>171</v>
      </c>
      <c r="M68" s="330">
        <v>1.0469</v>
      </c>
      <c r="O68" s="330">
        <v>0.0965</v>
      </c>
      <c r="P68" s="332">
        <v>2.45</v>
      </c>
      <c r="Q68" s="330">
        <v>0.3622</v>
      </c>
      <c r="R68" s="332">
        <v>9.2</v>
      </c>
      <c r="V68" t="str">
        <f t="shared" si="1"/>
        <v>Bushels  &lt;&lt;&lt;&gt;&gt;&gt; Cubic Meters </v>
      </c>
      <c r="W68" t="s">
        <v>461</v>
      </c>
      <c r="X68" t="s">
        <v>463</v>
      </c>
      <c r="Y68">
        <v>0.03524</v>
      </c>
    </row>
    <row r="69" spans="2:25" ht="15">
      <c r="B69" s="339">
        <v>0.04</v>
      </c>
      <c r="C69" s="340">
        <v>60</v>
      </c>
      <c r="F69" s="330">
        <v>0.031</v>
      </c>
      <c r="G69" s="331">
        <v>68</v>
      </c>
      <c r="L69" s="331" t="s">
        <v>173</v>
      </c>
      <c r="M69" s="330">
        <v>1.0625</v>
      </c>
      <c r="O69" s="330">
        <v>0.0984</v>
      </c>
      <c r="P69" s="332">
        <v>2.5</v>
      </c>
      <c r="Q69" s="330">
        <v>0.3583</v>
      </c>
      <c r="R69" s="332">
        <v>9.1</v>
      </c>
      <c r="V69" t="str">
        <f t="shared" si="1"/>
        <v>Bushels  &lt;&lt;&lt;&gt;&gt;&gt; Liters </v>
      </c>
      <c r="W69" t="s">
        <v>461</v>
      </c>
      <c r="X69" t="s">
        <v>464</v>
      </c>
      <c r="Y69">
        <v>35.24</v>
      </c>
    </row>
    <row r="70" spans="2:25" ht="15">
      <c r="B70" s="339">
        <v>0.041</v>
      </c>
      <c r="C70" s="340">
        <v>59</v>
      </c>
      <c r="F70" s="330">
        <v>0.0292</v>
      </c>
      <c r="G70" s="331">
        <v>69</v>
      </c>
      <c r="L70" s="331" t="s">
        <v>176</v>
      </c>
      <c r="M70" s="330">
        <v>1.0781</v>
      </c>
      <c r="O70" s="330">
        <v>0.1024</v>
      </c>
      <c r="P70" s="332">
        <v>2.6</v>
      </c>
      <c r="Q70" s="330">
        <v>0.3543</v>
      </c>
      <c r="R70" s="332">
        <v>9</v>
      </c>
      <c r="V70" t="str">
        <f t="shared" si="1"/>
        <v>Bushels  &lt;&lt;&lt;&gt;&gt;&gt; Pecks </v>
      </c>
      <c r="W70" t="s">
        <v>461</v>
      </c>
      <c r="X70" t="s">
        <v>465</v>
      </c>
      <c r="Y70">
        <v>4</v>
      </c>
    </row>
    <row r="71" spans="2:25" ht="15">
      <c r="B71" s="339">
        <v>0.0413</v>
      </c>
      <c r="D71" s="1">
        <v>1.05</v>
      </c>
      <c r="F71" s="330">
        <v>0.028</v>
      </c>
      <c r="G71" s="331">
        <v>70</v>
      </c>
      <c r="L71" s="331" t="s">
        <v>181</v>
      </c>
      <c r="M71" s="330">
        <v>1.0938</v>
      </c>
      <c r="O71" s="330">
        <v>0.1063</v>
      </c>
      <c r="P71" s="332">
        <v>2.7</v>
      </c>
      <c r="Q71" s="330">
        <v>0.3504</v>
      </c>
      <c r="R71" s="332">
        <v>8.9</v>
      </c>
      <c r="V71" t="str">
        <f t="shared" si="1"/>
        <v>Bushels  &lt;&lt;&lt;&gt;&gt;&gt; Pint (dry) </v>
      </c>
      <c r="W71" t="s">
        <v>461</v>
      </c>
      <c r="X71" t="s">
        <v>466</v>
      </c>
      <c r="Y71">
        <v>64</v>
      </c>
    </row>
    <row r="72" spans="2:25" ht="15">
      <c r="B72" s="339">
        <v>0.042</v>
      </c>
      <c r="C72" s="340">
        <v>58</v>
      </c>
      <c r="F72" s="330">
        <v>0.026</v>
      </c>
      <c r="G72" s="331">
        <v>71</v>
      </c>
      <c r="L72" s="331" t="s">
        <v>184</v>
      </c>
      <c r="M72" s="330">
        <v>1.1094</v>
      </c>
      <c r="O72" s="330">
        <v>0.1083</v>
      </c>
      <c r="P72" s="332">
        <v>2.75</v>
      </c>
      <c r="Q72" s="330">
        <v>0.34650000000000003</v>
      </c>
      <c r="R72" s="332">
        <v>8.8</v>
      </c>
      <c r="V72" t="str">
        <f t="shared" si="1"/>
        <v>Bushels  &lt;&lt;&lt;&gt;&gt;&gt; Quarts (dry) </v>
      </c>
      <c r="W72" t="s">
        <v>461</v>
      </c>
      <c r="X72" t="s">
        <v>431</v>
      </c>
      <c r="Y72">
        <v>32</v>
      </c>
    </row>
    <row r="73" spans="2:25" ht="15">
      <c r="B73" s="339">
        <v>0.043000000000000003</v>
      </c>
      <c r="C73" s="340">
        <v>57</v>
      </c>
      <c r="F73" s="330">
        <v>0.025</v>
      </c>
      <c r="G73" s="331">
        <v>72</v>
      </c>
      <c r="L73" s="331" t="s">
        <v>187</v>
      </c>
      <c r="M73" s="330">
        <v>1.125</v>
      </c>
      <c r="O73" s="330">
        <v>0.1102</v>
      </c>
      <c r="P73" s="332">
        <v>2.8</v>
      </c>
      <c r="Q73" s="330">
        <v>0.34450000000000003</v>
      </c>
      <c r="R73" s="332">
        <v>8.75</v>
      </c>
      <c r="V73" t="str">
        <f t="shared" si="1"/>
        <v>Calorie  &lt;&lt;&lt;&gt;&gt;&gt; HorsePower-hour </v>
      </c>
      <c r="W73" t="s">
        <v>467</v>
      </c>
      <c r="X73" t="s">
        <v>468</v>
      </c>
      <c r="Y73">
        <v>1.56E-06</v>
      </c>
    </row>
    <row r="74" spans="2:25" ht="15">
      <c r="B74" s="339">
        <v>0.043300000000000005</v>
      </c>
      <c r="D74" s="1">
        <v>1.1</v>
      </c>
      <c r="F74" s="330">
        <v>0.024</v>
      </c>
      <c r="G74" s="331">
        <v>73</v>
      </c>
      <c r="L74" s="331" t="s">
        <v>190</v>
      </c>
      <c r="M74" s="330">
        <v>1.1406</v>
      </c>
      <c r="O74" s="330">
        <v>0.1142</v>
      </c>
      <c r="P74" s="332">
        <v>2.9</v>
      </c>
      <c r="Q74" s="330">
        <v>0.3425</v>
      </c>
      <c r="R74" s="332">
        <v>8.7</v>
      </c>
      <c r="V74" t="str">
        <f t="shared" si="1"/>
        <v>Calorie  &lt;&lt;&lt;&gt;&gt;&gt; HorsePower-hour (metric) </v>
      </c>
      <c r="W74" t="s">
        <v>467</v>
      </c>
      <c r="X74" t="s">
        <v>469</v>
      </c>
      <c r="Y74">
        <v>1.58E-06</v>
      </c>
    </row>
    <row r="75" spans="2:25" ht="15">
      <c r="B75" s="339">
        <v>0.0453</v>
      </c>
      <c r="D75" s="1">
        <v>1.15</v>
      </c>
      <c r="F75" s="330">
        <v>0.0225</v>
      </c>
      <c r="G75" s="331">
        <v>74</v>
      </c>
      <c r="L75" s="331" t="s">
        <v>192</v>
      </c>
      <c r="M75" s="330">
        <v>1.1562</v>
      </c>
      <c r="O75" s="330">
        <v>0.1181</v>
      </c>
      <c r="P75" s="332">
        <v>3</v>
      </c>
      <c r="Q75" s="330">
        <v>0.3386</v>
      </c>
      <c r="R75" s="332">
        <v>8.6</v>
      </c>
      <c r="V75" t="str">
        <f t="shared" si="1"/>
        <v>Calorie  &lt;&lt;&lt;&gt;&gt;&gt; Joule </v>
      </c>
      <c r="W75" t="s">
        <v>467</v>
      </c>
      <c r="X75" t="s">
        <v>470</v>
      </c>
      <c r="Y75">
        <v>4.1868</v>
      </c>
    </row>
    <row r="76" spans="2:25" ht="15">
      <c r="B76" s="339">
        <v>0.0465</v>
      </c>
      <c r="C76" s="340">
        <v>56</v>
      </c>
      <c r="F76" s="330">
        <v>0.021</v>
      </c>
      <c r="G76" s="331">
        <v>75</v>
      </c>
      <c r="L76" s="331" t="s">
        <v>195</v>
      </c>
      <c r="M76" s="330">
        <v>1.1719</v>
      </c>
      <c r="O76" s="330">
        <v>0.122</v>
      </c>
      <c r="P76" s="332">
        <v>3.1</v>
      </c>
      <c r="Q76" s="330">
        <v>0.3346</v>
      </c>
      <c r="R76" s="332">
        <v>8.5</v>
      </c>
      <c r="V76" t="str">
        <f t="shared" si="1"/>
        <v>Calorie  &lt;&lt;&lt;&gt;&gt;&gt; Kilowatt-hour </v>
      </c>
      <c r="W76" t="s">
        <v>467</v>
      </c>
      <c r="X76" t="s">
        <v>471</v>
      </c>
      <c r="Y76">
        <v>1.16E-06</v>
      </c>
    </row>
    <row r="77" spans="1:25" ht="15">
      <c r="A77" s="183" t="s">
        <v>157</v>
      </c>
      <c r="B77" s="339">
        <v>0.046900000000000004</v>
      </c>
      <c r="F77" s="330">
        <v>0.02</v>
      </c>
      <c r="G77" s="331">
        <v>76</v>
      </c>
      <c r="L77" s="331" t="s">
        <v>199</v>
      </c>
      <c r="M77" s="330">
        <v>1.1875</v>
      </c>
      <c r="O77" s="330">
        <v>0.126</v>
      </c>
      <c r="P77" s="332">
        <v>3.2</v>
      </c>
      <c r="Q77" s="330">
        <v>0.3307</v>
      </c>
      <c r="R77" s="332">
        <v>8.4</v>
      </c>
      <c r="V77" t="str">
        <f t="shared" si="1"/>
        <v>Calorie, Gram (mean)  &lt;&lt;&lt;&gt;&gt;&gt; BTU (mean) </v>
      </c>
      <c r="W77" t="s">
        <v>472</v>
      </c>
      <c r="X77" t="s">
        <v>473</v>
      </c>
      <c r="Y77">
        <v>0.00396832</v>
      </c>
    </row>
    <row r="78" spans="2:25" ht="15">
      <c r="B78" s="339">
        <v>0.0472</v>
      </c>
      <c r="D78" s="1">
        <v>1.2</v>
      </c>
      <c r="F78" s="330">
        <v>0.018</v>
      </c>
      <c r="G78" s="331">
        <v>77</v>
      </c>
      <c r="L78" s="331" t="s">
        <v>203</v>
      </c>
      <c r="M78" s="330">
        <v>1.2031</v>
      </c>
      <c r="O78" s="330">
        <v>0.128</v>
      </c>
      <c r="P78" s="332">
        <v>3.25</v>
      </c>
      <c r="Q78" s="330">
        <v>0.3268</v>
      </c>
      <c r="R78" s="332">
        <v>8.3</v>
      </c>
      <c r="V78" t="str">
        <f t="shared" si="1"/>
        <v>Candle/Square Centimeters  &lt;&lt;&lt;&gt;&gt;&gt; Lamberts </v>
      </c>
      <c r="W78" t="s">
        <v>474</v>
      </c>
      <c r="X78" t="s">
        <v>475</v>
      </c>
      <c r="Y78">
        <v>3.142</v>
      </c>
    </row>
    <row r="79" spans="2:25" ht="15">
      <c r="B79" s="339">
        <v>0.0492</v>
      </c>
      <c r="D79" s="1">
        <v>1.25</v>
      </c>
      <c r="F79" s="330">
        <v>0.016</v>
      </c>
      <c r="G79" s="331">
        <v>78</v>
      </c>
      <c r="L79" s="331" t="s">
        <v>205</v>
      </c>
      <c r="M79" s="330">
        <v>1.2188</v>
      </c>
      <c r="O79" s="330">
        <v>0.1299</v>
      </c>
      <c r="P79" s="332">
        <v>3.3</v>
      </c>
      <c r="Q79" s="330">
        <v>0.3248</v>
      </c>
      <c r="R79" s="332">
        <v>8.25</v>
      </c>
      <c r="V79" t="str">
        <f t="shared" si="1"/>
        <v>Candle/Square Inch  &lt;&lt;&lt;&gt;&gt;&gt; Lamberts </v>
      </c>
      <c r="W79" t="s">
        <v>476</v>
      </c>
      <c r="X79" t="s">
        <v>475</v>
      </c>
      <c r="Y79">
        <v>0.487</v>
      </c>
    </row>
    <row r="80" spans="2:25" ht="15">
      <c r="B80" s="339">
        <v>0.0512</v>
      </c>
      <c r="D80" s="1">
        <v>1.3</v>
      </c>
      <c r="F80" s="330">
        <v>0.0145</v>
      </c>
      <c r="G80" s="331">
        <v>79</v>
      </c>
      <c r="L80" s="331" t="s">
        <v>208</v>
      </c>
      <c r="M80" s="330">
        <v>1.2344</v>
      </c>
      <c r="O80" s="330">
        <v>0.1339</v>
      </c>
      <c r="P80" s="332">
        <v>3.4</v>
      </c>
      <c r="Q80" s="330">
        <v>0.3228</v>
      </c>
      <c r="R80" s="332">
        <v>8.2</v>
      </c>
      <c r="V80" t="str">
        <f t="shared" si="1"/>
        <v>Centares (centiares)  &lt;&lt;&lt;&gt;&gt;&gt; Square Meters </v>
      </c>
      <c r="W80" t="s">
        <v>477</v>
      </c>
      <c r="X80" t="s">
        <v>407</v>
      </c>
      <c r="Y80">
        <v>1</v>
      </c>
    </row>
    <row r="81" spans="2:25" ht="15">
      <c r="B81" s="339">
        <v>0.052000000000000005</v>
      </c>
      <c r="C81" s="340">
        <v>55</v>
      </c>
      <c r="F81" s="330">
        <v>0.0135</v>
      </c>
      <c r="G81" s="331">
        <v>80</v>
      </c>
      <c r="L81" s="331" t="s">
        <v>210</v>
      </c>
      <c r="M81" s="330">
        <v>1.25</v>
      </c>
      <c r="O81" s="330">
        <v>0.1378</v>
      </c>
      <c r="P81" s="332">
        <v>3.5</v>
      </c>
      <c r="Q81" s="330">
        <v>0.3189</v>
      </c>
      <c r="R81" s="332">
        <v>8.1</v>
      </c>
      <c r="V81" t="str">
        <f t="shared" si="1"/>
        <v>Centigrams  &lt;&lt;&lt;&gt;&gt;&gt; Grams </v>
      </c>
      <c r="W81" t="s">
        <v>478</v>
      </c>
      <c r="X81" t="s">
        <v>479</v>
      </c>
      <c r="Y81">
        <v>0.01</v>
      </c>
    </row>
    <row r="82" spans="2:25" ht="15">
      <c r="B82" s="339">
        <v>0.0531</v>
      </c>
      <c r="D82" s="1">
        <v>1.35</v>
      </c>
      <c r="F82" s="330">
        <v>0.013</v>
      </c>
      <c r="G82" s="331">
        <v>81</v>
      </c>
      <c r="L82" s="331" t="s">
        <v>213</v>
      </c>
      <c r="M82" s="330">
        <v>1.2656</v>
      </c>
      <c r="O82" s="330">
        <v>0.1417</v>
      </c>
      <c r="P82" s="332">
        <v>3.6</v>
      </c>
      <c r="Q82" s="330">
        <v>0.315</v>
      </c>
      <c r="R82" s="332">
        <v>8</v>
      </c>
      <c r="V82" t="str">
        <f t="shared" si="1"/>
        <v>Centiliter  &lt;&lt;&lt;&gt;&gt;&gt; Ounce fluid (US) </v>
      </c>
      <c r="W82" t="s">
        <v>480</v>
      </c>
      <c r="X82" t="s">
        <v>481</v>
      </c>
      <c r="Y82">
        <v>0.3382</v>
      </c>
    </row>
    <row r="83" spans="2:25" ht="15">
      <c r="B83" s="339">
        <v>0.055</v>
      </c>
      <c r="C83" s="340">
        <v>54</v>
      </c>
      <c r="F83" s="330">
        <v>0.0125</v>
      </c>
      <c r="G83" s="331">
        <v>82</v>
      </c>
      <c r="L83" s="331" t="s">
        <v>217</v>
      </c>
      <c r="M83" s="330">
        <v>1.2812</v>
      </c>
      <c r="O83" s="330">
        <v>0.1457</v>
      </c>
      <c r="P83" s="332">
        <v>3.7</v>
      </c>
      <c r="Q83" s="330">
        <v>0.311</v>
      </c>
      <c r="R83" s="332">
        <v>7.9</v>
      </c>
      <c r="V83" t="str">
        <f t="shared" si="1"/>
        <v>Centiliters  &lt;&lt;&lt;&gt;&gt;&gt; Liters </v>
      </c>
      <c r="W83" t="s">
        <v>482</v>
      </c>
      <c r="X83" t="s">
        <v>464</v>
      </c>
      <c r="Y83">
        <v>0.01</v>
      </c>
    </row>
    <row r="84" spans="2:25" ht="15">
      <c r="B84" s="339">
        <v>0.0551</v>
      </c>
      <c r="D84" s="1">
        <v>1.4</v>
      </c>
      <c r="F84" s="330">
        <v>0.012</v>
      </c>
      <c r="G84" s="331">
        <v>83</v>
      </c>
      <c r="L84" s="331" t="s">
        <v>219</v>
      </c>
      <c r="M84" s="330">
        <v>1.2969</v>
      </c>
      <c r="O84" s="330">
        <v>0.1476</v>
      </c>
      <c r="P84" s="332">
        <v>3.75</v>
      </c>
      <c r="Q84" s="330">
        <v>0.3071</v>
      </c>
      <c r="R84" s="332">
        <v>7.8</v>
      </c>
      <c r="V84" t="str">
        <f t="shared" si="1"/>
        <v>Centimeter-Dynes &lt;&lt;&lt;&gt;&gt;&gt; Meter-kgs</v>
      </c>
      <c r="W84" t="s">
        <v>483</v>
      </c>
      <c r="X84" t="s">
        <v>484</v>
      </c>
      <c r="Y84">
        <v>1.02E-08</v>
      </c>
    </row>
    <row r="85" spans="2:25" ht="15">
      <c r="B85" s="339">
        <v>0.057100000000000005</v>
      </c>
      <c r="D85" s="1">
        <v>1.45</v>
      </c>
      <c r="F85" s="330">
        <v>0.0115</v>
      </c>
      <c r="G85" s="331">
        <v>84</v>
      </c>
      <c r="L85" s="331" t="s">
        <v>222</v>
      </c>
      <c r="M85" s="330">
        <v>1.3125</v>
      </c>
      <c r="O85" s="330">
        <v>0.1496</v>
      </c>
      <c r="P85" s="332">
        <v>3.8</v>
      </c>
      <c r="Q85" s="330">
        <v>0.3051</v>
      </c>
      <c r="R85" s="332">
        <v>7.75</v>
      </c>
      <c r="V85" t="str">
        <f t="shared" si="1"/>
        <v>Centimeter-Dynes &lt;&lt;&lt;&gt;&gt;&gt; Pound-Feet</v>
      </c>
      <c r="W85" t="s">
        <v>483</v>
      </c>
      <c r="X85" t="s">
        <v>485</v>
      </c>
      <c r="Y85">
        <v>7.38E-08</v>
      </c>
    </row>
    <row r="86" spans="2:25" ht="15">
      <c r="B86" s="339">
        <v>0.0591</v>
      </c>
      <c r="D86" s="1">
        <v>1.5</v>
      </c>
      <c r="F86" s="330">
        <v>0.011</v>
      </c>
      <c r="G86" s="331">
        <v>85</v>
      </c>
      <c r="L86" s="331" t="s">
        <v>224</v>
      </c>
      <c r="M86" s="330">
        <v>1.3281</v>
      </c>
      <c r="O86" s="330">
        <v>0.1535</v>
      </c>
      <c r="P86" s="332">
        <v>3.9</v>
      </c>
      <c r="Q86" s="330">
        <v>0.3031</v>
      </c>
      <c r="R86" s="332">
        <v>7.7</v>
      </c>
      <c r="V86" t="str">
        <f t="shared" si="1"/>
        <v>Centimeters &lt;&lt;&lt;&gt;&gt;&gt; Feet</v>
      </c>
      <c r="W86" t="s">
        <v>60</v>
      </c>
      <c r="X86" t="s">
        <v>62</v>
      </c>
      <c r="Y86">
        <v>0.0328084</v>
      </c>
    </row>
    <row r="87" spans="2:25" ht="15">
      <c r="B87" s="339">
        <v>0.059500000000000004</v>
      </c>
      <c r="C87" s="340">
        <v>53</v>
      </c>
      <c r="F87" s="330">
        <v>0.0105</v>
      </c>
      <c r="G87" s="331">
        <v>86</v>
      </c>
      <c r="L87" s="331" t="s">
        <v>228</v>
      </c>
      <c r="M87" s="330">
        <v>1.3438</v>
      </c>
      <c r="O87" s="330">
        <v>0.1575</v>
      </c>
      <c r="P87" s="332">
        <v>4</v>
      </c>
      <c r="Q87" s="330">
        <v>0.2992</v>
      </c>
      <c r="R87" s="332">
        <v>7.6</v>
      </c>
      <c r="V87" t="str">
        <f t="shared" si="1"/>
        <v>Centimeters &lt;&lt;&lt;&gt;&gt;&gt; Inches</v>
      </c>
      <c r="W87" t="s">
        <v>60</v>
      </c>
      <c r="X87" t="s">
        <v>56</v>
      </c>
      <c r="Y87">
        <v>0.3937008</v>
      </c>
    </row>
    <row r="88" spans="2:25" ht="15">
      <c r="B88" s="339">
        <v>0.061000000000000006</v>
      </c>
      <c r="D88" s="1">
        <v>1.55</v>
      </c>
      <c r="F88" s="330">
        <v>0.01</v>
      </c>
      <c r="G88" s="331">
        <v>87</v>
      </c>
      <c r="L88" s="331" t="s">
        <v>232</v>
      </c>
      <c r="M88" s="330">
        <v>1.3594</v>
      </c>
      <c r="O88" s="330">
        <v>0.1614</v>
      </c>
      <c r="P88" s="332">
        <v>4.1</v>
      </c>
      <c r="Q88" s="330">
        <v>0.2953</v>
      </c>
      <c r="R88" s="332">
        <v>7.5</v>
      </c>
      <c r="V88" t="str">
        <f t="shared" si="1"/>
        <v>Centimeters &lt;&lt;&lt;&gt;&gt;&gt; Kilometers</v>
      </c>
      <c r="W88" t="s">
        <v>60</v>
      </c>
      <c r="X88" t="s">
        <v>70</v>
      </c>
      <c r="Y88">
        <v>1E-05</v>
      </c>
    </row>
    <row r="89" spans="1:25" ht="15">
      <c r="A89" s="183" t="s">
        <v>177</v>
      </c>
      <c r="B89" s="339">
        <v>0.0625</v>
      </c>
      <c r="F89" s="330">
        <v>0.0095</v>
      </c>
      <c r="G89" s="331">
        <v>88</v>
      </c>
      <c r="L89" s="331" t="s">
        <v>234</v>
      </c>
      <c r="M89" s="330">
        <v>1.375</v>
      </c>
      <c r="O89" s="330">
        <v>0.1654</v>
      </c>
      <c r="P89" s="332">
        <v>4.2</v>
      </c>
      <c r="Q89" s="330">
        <v>0.2913</v>
      </c>
      <c r="R89" s="332">
        <v>7.4</v>
      </c>
      <c r="V89" t="str">
        <f t="shared" si="1"/>
        <v>Centimeters &lt;&lt;&lt;&gt;&gt;&gt; Meters</v>
      </c>
      <c r="W89" t="s">
        <v>60</v>
      </c>
      <c r="X89" t="s">
        <v>64</v>
      </c>
      <c r="Y89">
        <v>0.01</v>
      </c>
    </row>
    <row r="90" spans="2:25" ht="15">
      <c r="B90" s="339">
        <v>0.063</v>
      </c>
      <c r="D90" s="1">
        <v>1.6</v>
      </c>
      <c r="F90" s="330">
        <v>0.0091</v>
      </c>
      <c r="G90" s="331">
        <v>89</v>
      </c>
      <c r="L90" s="331" t="s">
        <v>237</v>
      </c>
      <c r="M90" s="330">
        <v>1.3906</v>
      </c>
      <c r="O90" s="330">
        <v>0.1673</v>
      </c>
      <c r="P90" s="332">
        <v>4.25</v>
      </c>
      <c r="Q90" s="330">
        <v>0.2874</v>
      </c>
      <c r="R90" s="332">
        <v>7.3</v>
      </c>
      <c r="V90" t="str">
        <f t="shared" si="1"/>
        <v>Centimeters &lt;&lt;&lt;&gt;&gt;&gt; Miles</v>
      </c>
      <c r="W90" t="s">
        <v>60</v>
      </c>
      <c r="X90" t="s">
        <v>68</v>
      </c>
      <c r="Y90">
        <v>6.21E-06</v>
      </c>
    </row>
    <row r="91" spans="2:25" ht="15">
      <c r="B91" s="339">
        <v>0.0635</v>
      </c>
      <c r="C91" s="340">
        <v>52</v>
      </c>
      <c r="F91" s="330">
        <v>0.0087</v>
      </c>
      <c r="G91" s="331">
        <v>90</v>
      </c>
      <c r="L91" s="331" t="s">
        <v>240</v>
      </c>
      <c r="M91" s="330">
        <v>1.4062</v>
      </c>
      <c r="O91" s="330">
        <v>0.1693</v>
      </c>
      <c r="P91" s="332">
        <v>4.3</v>
      </c>
      <c r="Q91" s="330">
        <v>0.2854</v>
      </c>
      <c r="R91" s="332">
        <v>7.25</v>
      </c>
      <c r="V91" t="str">
        <f t="shared" si="1"/>
        <v>Centimeters &lt;&lt;&lt;&gt;&gt;&gt; Millimeters</v>
      </c>
      <c r="W91" t="s">
        <v>60</v>
      </c>
      <c r="X91" t="s">
        <v>58</v>
      </c>
      <c r="Y91">
        <v>10</v>
      </c>
    </row>
    <row r="92" spans="2:25" ht="15">
      <c r="B92" s="339">
        <v>0.065</v>
      </c>
      <c r="D92" s="1">
        <v>1.65</v>
      </c>
      <c r="F92" s="330">
        <v>0.0083</v>
      </c>
      <c r="G92" s="331">
        <v>91</v>
      </c>
      <c r="L92" s="331" t="s">
        <v>243</v>
      </c>
      <c r="M92" s="330">
        <v>1.4219</v>
      </c>
      <c r="O92" s="330">
        <v>0.1732</v>
      </c>
      <c r="P92" s="332">
        <v>4.4</v>
      </c>
      <c r="Q92" s="330">
        <v>0.28350000000000003</v>
      </c>
      <c r="R92" s="332">
        <v>7.2</v>
      </c>
      <c r="V92" t="str">
        <f t="shared" si="1"/>
        <v>Centimeters &lt;&lt;&lt;&gt;&gt;&gt; Mils</v>
      </c>
      <c r="W92" t="s">
        <v>60</v>
      </c>
      <c r="X92" t="s">
        <v>486</v>
      </c>
      <c r="Y92">
        <v>393.7</v>
      </c>
    </row>
    <row r="93" spans="2:25" ht="15">
      <c r="B93" s="339">
        <v>0.0669</v>
      </c>
      <c r="D93" s="1">
        <v>1.7</v>
      </c>
      <c r="F93" s="330">
        <v>0.0079</v>
      </c>
      <c r="G93" s="331">
        <v>92</v>
      </c>
      <c r="L93" s="331" t="s">
        <v>245</v>
      </c>
      <c r="M93" s="330">
        <v>1.4375</v>
      </c>
      <c r="O93" s="330">
        <v>0.1772</v>
      </c>
      <c r="P93" s="332">
        <v>4.5</v>
      </c>
      <c r="Q93" s="330">
        <v>0.2795</v>
      </c>
      <c r="R93" s="332">
        <v>7.1</v>
      </c>
      <c r="V93" t="str">
        <f t="shared" si="1"/>
        <v>Centimeters &lt;&lt;&lt;&gt;&gt;&gt; Yards</v>
      </c>
      <c r="W93" t="s">
        <v>60</v>
      </c>
      <c r="X93" t="s">
        <v>65</v>
      </c>
      <c r="Y93">
        <v>0.01094</v>
      </c>
    </row>
    <row r="94" spans="2:25" ht="15">
      <c r="B94" s="339">
        <v>0.067</v>
      </c>
      <c r="C94" s="340">
        <v>51</v>
      </c>
      <c r="F94" s="330">
        <v>0.0075</v>
      </c>
      <c r="G94" s="331">
        <v>93</v>
      </c>
      <c r="L94" s="331" t="s">
        <v>250</v>
      </c>
      <c r="M94" s="330">
        <v>1.4531</v>
      </c>
      <c r="O94" s="330">
        <v>0.1811</v>
      </c>
      <c r="P94" s="332">
        <v>4.6</v>
      </c>
      <c r="Q94" s="330">
        <v>0.2756</v>
      </c>
      <c r="R94" s="332">
        <v>7</v>
      </c>
      <c r="V94" t="str">
        <f t="shared" si="1"/>
        <v>Centimeters of Mercury  &lt;&lt;&lt;&gt;&gt;&gt; Atmospheres </v>
      </c>
      <c r="W94" t="s">
        <v>487</v>
      </c>
      <c r="X94" t="s">
        <v>416</v>
      </c>
      <c r="Y94">
        <v>0.01316</v>
      </c>
    </row>
    <row r="95" spans="2:25" ht="15">
      <c r="B95" s="339">
        <v>0.0689</v>
      </c>
      <c r="D95" s="1">
        <v>1.75</v>
      </c>
      <c r="F95" s="330">
        <v>0.0071</v>
      </c>
      <c r="G95" s="331">
        <v>94</v>
      </c>
      <c r="L95" s="331" t="s">
        <v>253</v>
      </c>
      <c r="M95" s="330">
        <v>1.4688</v>
      </c>
      <c r="O95" s="330">
        <v>0.185</v>
      </c>
      <c r="P95" s="332">
        <v>4.7</v>
      </c>
      <c r="Q95" s="330">
        <v>0.2717</v>
      </c>
      <c r="R95" s="332">
        <v>6.9</v>
      </c>
      <c r="V95" t="str">
        <f t="shared" si="1"/>
        <v>Centimeters of Mercury  &lt;&lt;&lt;&gt;&gt;&gt; Feet of water </v>
      </c>
      <c r="W95" t="s">
        <v>487</v>
      </c>
      <c r="X95" t="s">
        <v>488</v>
      </c>
      <c r="Y95">
        <v>0.4461</v>
      </c>
    </row>
    <row r="96" spans="2:25" ht="15">
      <c r="B96" s="339">
        <v>0.07</v>
      </c>
      <c r="C96" s="340">
        <v>50</v>
      </c>
      <c r="F96" s="330">
        <v>0.0067</v>
      </c>
      <c r="G96" s="331">
        <v>95</v>
      </c>
      <c r="L96" s="331" t="s">
        <v>255</v>
      </c>
      <c r="M96" s="330">
        <v>1.4844</v>
      </c>
      <c r="O96" s="330">
        <v>0.187</v>
      </c>
      <c r="P96" s="332">
        <v>4.75</v>
      </c>
      <c r="Q96" s="330">
        <v>0.2677</v>
      </c>
      <c r="R96" s="332">
        <v>6.8</v>
      </c>
      <c r="V96" t="str">
        <f t="shared" si="1"/>
        <v>Centimeters of Mercury  &lt;&lt;&lt;&gt;&gt;&gt; Kgs/sq. meter </v>
      </c>
      <c r="W96" t="s">
        <v>487</v>
      </c>
      <c r="X96" t="s">
        <v>423</v>
      </c>
      <c r="Y96">
        <v>136</v>
      </c>
    </row>
    <row r="97" spans="2:25" ht="15">
      <c r="B97" s="339">
        <v>0.0709</v>
      </c>
      <c r="D97" s="1">
        <v>1.8</v>
      </c>
      <c r="F97" s="330">
        <v>0.0063</v>
      </c>
      <c r="G97" s="331">
        <v>96</v>
      </c>
      <c r="L97" s="331" t="s">
        <v>258</v>
      </c>
      <c r="M97" s="330">
        <v>1.5</v>
      </c>
      <c r="O97" s="330">
        <v>0.189</v>
      </c>
      <c r="P97" s="332">
        <v>4.8</v>
      </c>
      <c r="Q97" s="330">
        <v>0.2657</v>
      </c>
      <c r="R97" s="332">
        <v>6.75</v>
      </c>
      <c r="V97" t="str">
        <f t="shared" si="1"/>
        <v>Centimeters of Mercury  &lt;&lt;&lt;&gt;&gt;&gt; Pounds/sq. Foot </v>
      </c>
      <c r="W97" t="s">
        <v>487</v>
      </c>
      <c r="X97" t="s">
        <v>438</v>
      </c>
      <c r="Y97">
        <v>27.85</v>
      </c>
    </row>
    <row r="98" spans="2:25" ht="15">
      <c r="B98" s="339">
        <v>0.0728</v>
      </c>
      <c r="D98" s="1">
        <v>1.85</v>
      </c>
      <c r="F98" s="330">
        <v>0.0059</v>
      </c>
      <c r="G98" s="331">
        <v>97</v>
      </c>
      <c r="O98" s="330">
        <v>0.1929</v>
      </c>
      <c r="P98" s="332">
        <v>4.9</v>
      </c>
      <c r="Q98" s="330">
        <v>0.2638</v>
      </c>
      <c r="R98" s="332">
        <v>6.7</v>
      </c>
      <c r="V98" t="str">
        <f t="shared" si="1"/>
        <v>Centimeters of Mercury  &lt;&lt;&lt;&gt;&gt;&gt; Pounds/sq. Inch </v>
      </c>
      <c r="W98" t="s">
        <v>487</v>
      </c>
      <c r="X98" t="s">
        <v>424</v>
      </c>
      <c r="Y98">
        <v>0.1934</v>
      </c>
    </row>
    <row r="99" spans="2:25" ht="15">
      <c r="B99" s="339">
        <v>0.073</v>
      </c>
      <c r="C99" s="340">
        <v>49</v>
      </c>
      <c r="O99" s="330">
        <v>0.1969</v>
      </c>
      <c r="P99" s="332">
        <v>5</v>
      </c>
      <c r="Q99" s="330">
        <v>0.2598</v>
      </c>
      <c r="R99" s="332">
        <v>6.6</v>
      </c>
      <c r="V99" t="str">
        <f t="shared" si="1"/>
        <v>Centimeters per Minute &lt;&lt;&lt;&gt;&gt;&gt; Inches per Minute</v>
      </c>
      <c r="W99" t="s">
        <v>489</v>
      </c>
      <c r="X99" t="s">
        <v>490</v>
      </c>
      <c r="Y99">
        <v>0.3937008</v>
      </c>
    </row>
    <row r="100" spans="2:25" ht="15">
      <c r="B100" s="339">
        <v>0.0748</v>
      </c>
      <c r="D100" s="1">
        <v>1.9</v>
      </c>
      <c r="F100" s="324" t="s">
        <v>494</v>
      </c>
      <c r="G100" s="324"/>
      <c r="I100" s="324" t="s">
        <v>494</v>
      </c>
      <c r="J100" s="324"/>
      <c r="O100" s="330">
        <v>0.2008</v>
      </c>
      <c r="P100" s="332">
        <v>5.1</v>
      </c>
      <c r="Q100" s="330">
        <v>0.2559</v>
      </c>
      <c r="R100" s="332">
        <v>6.5</v>
      </c>
      <c r="V100" t="str">
        <f t="shared" si="1"/>
        <v>Centimeters per Second &lt;&lt;&lt;&gt;&gt;&gt; Feet per Minute</v>
      </c>
      <c r="W100" t="s">
        <v>491</v>
      </c>
      <c r="X100" t="s">
        <v>492</v>
      </c>
      <c r="Y100">
        <v>1.968504</v>
      </c>
    </row>
    <row r="101" spans="2:25" ht="15">
      <c r="B101" s="339">
        <v>0.076</v>
      </c>
      <c r="C101" s="340">
        <v>48</v>
      </c>
      <c r="F101" s="330">
        <v>0.0059</v>
      </c>
      <c r="G101" s="331">
        <v>97</v>
      </c>
      <c r="I101" s="330">
        <v>1.5</v>
      </c>
      <c r="J101" s="331" t="s">
        <v>258</v>
      </c>
      <c r="O101" s="330">
        <v>0.2047</v>
      </c>
      <c r="P101" s="332">
        <v>5.2</v>
      </c>
      <c r="Q101" s="330">
        <v>0.252</v>
      </c>
      <c r="R101" s="332">
        <v>6.4</v>
      </c>
      <c r="V101" t="str">
        <f t="shared" si="1"/>
        <v>Centimeters per Second &lt;&lt;&lt;&gt;&gt;&gt; Feet per Second</v>
      </c>
      <c r="W101" t="s">
        <v>491</v>
      </c>
      <c r="X101" t="s">
        <v>493</v>
      </c>
      <c r="Y101">
        <v>0.0328084</v>
      </c>
    </row>
    <row r="102" spans="2:25" ht="15">
      <c r="B102" s="339">
        <v>0.07680000000000001</v>
      </c>
      <c r="D102" s="1">
        <v>1.95</v>
      </c>
      <c r="F102" s="330">
        <v>0.0063</v>
      </c>
      <c r="G102" s="331">
        <v>96</v>
      </c>
      <c r="I102" s="330">
        <v>1.4844</v>
      </c>
      <c r="J102" s="331" t="s">
        <v>255</v>
      </c>
      <c r="O102" s="330">
        <v>0.2067</v>
      </c>
      <c r="P102" s="332">
        <v>5.25</v>
      </c>
      <c r="Q102" s="330">
        <v>0.248</v>
      </c>
      <c r="R102" s="332">
        <v>6.3</v>
      </c>
      <c r="V102" t="str">
        <f t="shared" si="1"/>
        <v>Centimeters/Seconds  &lt;&lt;&lt;&gt;&gt;&gt; Feet/Minutes </v>
      </c>
      <c r="W102" t="s">
        <v>495</v>
      </c>
      <c r="X102" t="s">
        <v>496</v>
      </c>
      <c r="Y102">
        <v>1.1969</v>
      </c>
    </row>
    <row r="103" spans="1:25" ht="15">
      <c r="A103" s="183" t="s">
        <v>201</v>
      </c>
      <c r="B103" s="339">
        <v>0.0781</v>
      </c>
      <c r="F103" s="330">
        <v>0.0067</v>
      </c>
      <c r="G103" s="331">
        <v>95</v>
      </c>
      <c r="I103" s="330">
        <v>1.4688</v>
      </c>
      <c r="J103" s="331" t="s">
        <v>253</v>
      </c>
      <c r="O103" s="330">
        <v>0.2087</v>
      </c>
      <c r="P103" s="332">
        <v>5.3</v>
      </c>
      <c r="Q103" s="330">
        <v>0.2461</v>
      </c>
      <c r="R103" s="332">
        <v>6.25</v>
      </c>
      <c r="V103" t="str">
        <f t="shared" si="1"/>
        <v>Centimeters/Seconds  &lt;&lt;&lt;&gt;&gt;&gt; Feet/Seconds </v>
      </c>
      <c r="W103" t="s">
        <v>495</v>
      </c>
      <c r="X103" t="s">
        <v>497</v>
      </c>
      <c r="Y103">
        <v>0.03281</v>
      </c>
    </row>
    <row r="104" spans="2:25" ht="15">
      <c r="B104" s="339">
        <v>0.0785</v>
      </c>
      <c r="C104" s="340">
        <v>47</v>
      </c>
      <c r="F104" s="330">
        <v>0.0071</v>
      </c>
      <c r="G104" s="331">
        <v>94</v>
      </c>
      <c r="I104" s="330">
        <v>1.4531</v>
      </c>
      <c r="J104" s="331" t="s">
        <v>250</v>
      </c>
      <c r="O104" s="330">
        <v>0.2126</v>
      </c>
      <c r="P104" s="332">
        <v>5.4</v>
      </c>
      <c r="Q104" s="330">
        <v>0.2441</v>
      </c>
      <c r="R104" s="332">
        <v>6.2</v>
      </c>
      <c r="V104" t="str">
        <f t="shared" si="1"/>
        <v>Centimeters/Seconds  &lt;&lt;&lt;&gt;&gt;&gt; Kilometers/Hour </v>
      </c>
      <c r="W104" t="s">
        <v>495</v>
      </c>
      <c r="X104" t="s">
        <v>498</v>
      </c>
      <c r="Y104">
        <v>0.036</v>
      </c>
    </row>
    <row r="105" spans="2:25" ht="15">
      <c r="B105" s="339">
        <v>0.0787</v>
      </c>
      <c r="D105" s="1">
        <v>2</v>
      </c>
      <c r="F105" s="330">
        <v>0.0075</v>
      </c>
      <c r="G105" s="331">
        <v>93</v>
      </c>
      <c r="I105" s="330">
        <v>1.4375</v>
      </c>
      <c r="J105" s="331" t="s">
        <v>245</v>
      </c>
      <c r="O105" s="330">
        <v>0.2165</v>
      </c>
      <c r="P105" s="332">
        <v>5.5</v>
      </c>
      <c r="Q105" s="330">
        <v>0.2402</v>
      </c>
      <c r="R105" s="332">
        <v>6.1</v>
      </c>
      <c r="V105" t="str">
        <f t="shared" si="1"/>
        <v>Centimeters/Seconds  &lt;&lt;&lt;&gt;&gt;&gt; Knots </v>
      </c>
      <c r="W105" t="s">
        <v>495</v>
      </c>
      <c r="X105" t="s">
        <v>499</v>
      </c>
      <c r="Y105">
        <v>0.1943</v>
      </c>
    </row>
    <row r="106" spans="2:25" ht="15">
      <c r="B106" s="339">
        <v>0.08070000000000001</v>
      </c>
      <c r="D106" s="1">
        <v>2.05</v>
      </c>
      <c r="F106" s="330">
        <v>0.0079</v>
      </c>
      <c r="G106" s="331">
        <v>92</v>
      </c>
      <c r="I106" s="330">
        <v>1.4219</v>
      </c>
      <c r="J106" s="331" t="s">
        <v>243</v>
      </c>
      <c r="O106" s="330">
        <v>0.2205</v>
      </c>
      <c r="P106" s="332">
        <v>5.6</v>
      </c>
      <c r="Q106" s="330">
        <v>0.2362</v>
      </c>
      <c r="R106" s="332">
        <v>6</v>
      </c>
      <c r="V106" t="str">
        <f t="shared" si="1"/>
        <v>Centimeters/Seconds  &lt;&lt;&lt;&gt;&gt;&gt; Meters/Minutes </v>
      </c>
      <c r="W106" t="s">
        <v>495</v>
      </c>
      <c r="X106" t="s">
        <v>500</v>
      </c>
      <c r="Y106">
        <v>0.6</v>
      </c>
    </row>
    <row r="107" spans="2:25" ht="15">
      <c r="B107" s="339">
        <v>0.081</v>
      </c>
      <c r="C107" s="340">
        <v>46</v>
      </c>
      <c r="F107" s="330">
        <v>0.0083</v>
      </c>
      <c r="G107" s="331">
        <v>91</v>
      </c>
      <c r="I107" s="330">
        <v>1.4062</v>
      </c>
      <c r="J107" s="331" t="s">
        <v>240</v>
      </c>
      <c r="O107" s="330">
        <v>0.2244</v>
      </c>
      <c r="P107" s="332">
        <v>5.7</v>
      </c>
      <c r="Q107" s="330">
        <v>0.2323</v>
      </c>
      <c r="R107" s="332">
        <v>5.9</v>
      </c>
      <c r="V107" t="str">
        <f t="shared" si="1"/>
        <v>Centimeters/Seconds  &lt;&lt;&lt;&gt;&gt;&gt; Miles/Hour </v>
      </c>
      <c r="W107" t="s">
        <v>495</v>
      </c>
      <c r="X107" t="s">
        <v>501</v>
      </c>
      <c r="Y107">
        <v>0.02237</v>
      </c>
    </row>
    <row r="108" spans="2:25" ht="15">
      <c r="B108" s="339">
        <v>0.082</v>
      </c>
      <c r="C108" s="340">
        <v>45</v>
      </c>
      <c r="F108" s="330">
        <v>0.0087</v>
      </c>
      <c r="G108" s="331">
        <v>90</v>
      </c>
      <c r="I108" s="330">
        <v>1.3906</v>
      </c>
      <c r="J108" s="331" t="s">
        <v>237</v>
      </c>
      <c r="O108" s="330">
        <v>0.2264</v>
      </c>
      <c r="P108" s="332">
        <v>5.75</v>
      </c>
      <c r="Q108" s="330">
        <v>0.2283</v>
      </c>
      <c r="R108" s="332">
        <v>5.8</v>
      </c>
      <c r="V108" t="str">
        <f t="shared" si="1"/>
        <v>Centimeters/Seconds  &lt;&lt;&lt;&gt;&gt;&gt; Miles/Minutes </v>
      </c>
      <c r="W108" t="s">
        <v>495</v>
      </c>
      <c r="X108" t="s">
        <v>502</v>
      </c>
      <c r="Y108">
        <v>0.0003728</v>
      </c>
    </row>
    <row r="109" spans="2:25" ht="15">
      <c r="B109" s="339">
        <v>0.08270000000000001</v>
      </c>
      <c r="D109" s="1">
        <v>2.1</v>
      </c>
      <c r="F109" s="330">
        <v>0.0091</v>
      </c>
      <c r="G109" s="331">
        <v>89</v>
      </c>
      <c r="I109" s="330">
        <v>1.375</v>
      </c>
      <c r="J109" s="331" t="s">
        <v>234</v>
      </c>
      <c r="O109" s="330">
        <v>0.2283</v>
      </c>
      <c r="P109" s="332">
        <v>5.8</v>
      </c>
      <c r="Q109" s="330">
        <v>0.2264</v>
      </c>
      <c r="R109" s="332">
        <v>5.75</v>
      </c>
      <c r="V109" t="str">
        <f t="shared" si="1"/>
        <v>Centimeters/Seconds/Seconds  &lt;&lt;&lt;&gt;&gt;&gt; Feet/Seconds/Seconds </v>
      </c>
      <c r="W109" t="s">
        <v>503</v>
      </c>
      <c r="X109" t="s">
        <v>504</v>
      </c>
      <c r="Y109">
        <v>0.03281</v>
      </c>
    </row>
    <row r="110" spans="2:25" ht="15">
      <c r="B110" s="339">
        <v>0.08460000000000001</v>
      </c>
      <c r="D110" s="1">
        <v>2.15</v>
      </c>
      <c r="F110" s="330">
        <v>0.0095</v>
      </c>
      <c r="G110" s="331">
        <v>88</v>
      </c>
      <c r="I110" s="330">
        <v>1.3594</v>
      </c>
      <c r="J110" s="331" t="s">
        <v>232</v>
      </c>
      <c r="O110" s="330">
        <v>0.2323</v>
      </c>
      <c r="P110" s="332">
        <v>5.9</v>
      </c>
      <c r="Q110" s="330">
        <v>0.2244</v>
      </c>
      <c r="R110" s="332">
        <v>5.7</v>
      </c>
      <c r="V110" t="str">
        <f t="shared" si="1"/>
        <v>Centimeters/Seconds/Seconds  &lt;&lt;&lt;&gt;&gt;&gt; Kilometers/Hour/Seconds </v>
      </c>
      <c r="W110" t="s">
        <v>503</v>
      </c>
      <c r="X110" t="s">
        <v>505</v>
      </c>
      <c r="Y110">
        <v>0.036</v>
      </c>
    </row>
    <row r="111" spans="2:25" ht="15">
      <c r="B111" s="339">
        <v>0.08600000000000001</v>
      </c>
      <c r="C111" s="340">
        <v>44</v>
      </c>
      <c r="F111" s="330">
        <v>0.01</v>
      </c>
      <c r="G111" s="331">
        <v>87</v>
      </c>
      <c r="I111" s="330">
        <v>1.3438</v>
      </c>
      <c r="J111" s="331" t="s">
        <v>228</v>
      </c>
      <c r="O111" s="330">
        <v>0.2362</v>
      </c>
      <c r="P111" s="332">
        <v>6</v>
      </c>
      <c r="Q111" s="330">
        <v>0.2205</v>
      </c>
      <c r="R111" s="332">
        <v>5.6</v>
      </c>
      <c r="V111" t="str">
        <f t="shared" si="1"/>
        <v>Centimeters/Seconds/Seconds  &lt;&lt;&lt;&gt;&gt;&gt; meters/Seconds/Seconds </v>
      </c>
      <c r="W111" t="s">
        <v>503</v>
      </c>
      <c r="X111" t="s">
        <v>506</v>
      </c>
      <c r="Y111">
        <v>0.01</v>
      </c>
    </row>
    <row r="112" spans="2:25" ht="15">
      <c r="B112" s="339">
        <v>0.08660000000000001</v>
      </c>
      <c r="D112" s="1">
        <v>2.2</v>
      </c>
      <c r="F112" s="330">
        <v>0.0105</v>
      </c>
      <c r="G112" s="331">
        <v>86</v>
      </c>
      <c r="I112" s="330">
        <v>1.3281</v>
      </c>
      <c r="J112" s="331" t="s">
        <v>224</v>
      </c>
      <c r="O112" s="330">
        <v>0.2402</v>
      </c>
      <c r="P112" s="332">
        <v>6.1</v>
      </c>
      <c r="Q112" s="330">
        <v>0.2165</v>
      </c>
      <c r="R112" s="332">
        <v>5.5</v>
      </c>
      <c r="V112" t="str">
        <f t="shared" si="1"/>
        <v>Centimeters/Seconds/Seconds  &lt;&lt;&lt;&gt;&gt;&gt; Miles/Hour/Seconds </v>
      </c>
      <c r="W112" t="s">
        <v>503</v>
      </c>
      <c r="X112" t="s">
        <v>507</v>
      </c>
      <c r="Y112">
        <v>0.02237</v>
      </c>
    </row>
    <row r="113" spans="2:25" ht="15">
      <c r="B113" s="339">
        <v>0.0886</v>
      </c>
      <c r="D113" s="1">
        <v>2.25</v>
      </c>
      <c r="F113" s="330">
        <v>0.011</v>
      </c>
      <c r="G113" s="331">
        <v>85</v>
      </c>
      <c r="I113" s="330">
        <v>1.3125</v>
      </c>
      <c r="J113" s="331" t="s">
        <v>222</v>
      </c>
      <c r="O113" s="330">
        <v>0.2441</v>
      </c>
      <c r="P113" s="332">
        <v>6.2</v>
      </c>
      <c r="Q113" s="330">
        <v>0.2126</v>
      </c>
      <c r="R113" s="332">
        <v>5.4</v>
      </c>
      <c r="V113" t="str">
        <f t="shared" si="1"/>
        <v>Centimeters-Dynes &lt;&lt;&lt;&gt;&gt;&gt; Centimeter-Grams</v>
      </c>
      <c r="W113" t="s">
        <v>508</v>
      </c>
      <c r="X113" t="s">
        <v>509</v>
      </c>
      <c r="Y113">
        <v>0.00102</v>
      </c>
    </row>
    <row r="114" spans="2:25" ht="15">
      <c r="B114" s="339">
        <v>0.089</v>
      </c>
      <c r="C114" s="340">
        <v>43</v>
      </c>
      <c r="F114" s="330">
        <v>0.0115</v>
      </c>
      <c r="G114" s="331">
        <v>84</v>
      </c>
      <c r="I114" s="330">
        <v>1.2969</v>
      </c>
      <c r="J114" s="331" t="s">
        <v>219</v>
      </c>
      <c r="O114" s="330">
        <v>0.2461</v>
      </c>
      <c r="P114" s="332">
        <v>6.25</v>
      </c>
      <c r="Q114" s="330">
        <v>0.2087</v>
      </c>
      <c r="R114" s="332">
        <v>5.3</v>
      </c>
      <c r="V114" t="str">
        <f t="shared" si="1"/>
        <v>Chain &lt;&lt;&lt;&gt;&gt;&gt; Inches</v>
      </c>
      <c r="W114" t="s">
        <v>510</v>
      </c>
      <c r="X114" t="s">
        <v>56</v>
      </c>
      <c r="Y114">
        <v>792</v>
      </c>
    </row>
    <row r="115" spans="2:25" ht="15">
      <c r="B115" s="339">
        <v>0.0906</v>
      </c>
      <c r="D115" s="1">
        <v>2.3</v>
      </c>
      <c r="F115" s="330">
        <v>0.012</v>
      </c>
      <c r="G115" s="331">
        <v>83</v>
      </c>
      <c r="I115" s="330">
        <v>1.2812</v>
      </c>
      <c r="J115" s="331" t="s">
        <v>217</v>
      </c>
      <c r="O115" s="330">
        <v>0.248</v>
      </c>
      <c r="P115" s="332">
        <v>6.3</v>
      </c>
      <c r="Q115" s="330">
        <v>0.2067</v>
      </c>
      <c r="R115" s="332">
        <v>5.25</v>
      </c>
      <c r="V115" t="str">
        <f t="shared" si="1"/>
        <v>Chain &lt;&lt;&lt;&gt;&gt;&gt; Meters</v>
      </c>
      <c r="W115" t="s">
        <v>510</v>
      </c>
      <c r="X115" t="s">
        <v>64</v>
      </c>
      <c r="Y115">
        <v>20.12</v>
      </c>
    </row>
    <row r="116" spans="2:25" ht="15">
      <c r="B116" s="339">
        <v>0.0925</v>
      </c>
      <c r="D116" s="1">
        <v>2.35</v>
      </c>
      <c r="F116" s="330">
        <v>0.0125</v>
      </c>
      <c r="G116" s="331">
        <v>82</v>
      </c>
      <c r="I116" s="330">
        <v>1.2656</v>
      </c>
      <c r="J116" s="331" t="s">
        <v>213</v>
      </c>
      <c r="O116" s="330">
        <v>0.252</v>
      </c>
      <c r="P116" s="332">
        <v>6.4</v>
      </c>
      <c r="Q116" s="330">
        <v>0.2047</v>
      </c>
      <c r="R116" s="332">
        <v>5.2</v>
      </c>
      <c r="V116" t="str">
        <f t="shared" si="1"/>
        <v>Circular Mils  &lt;&lt;&lt;&gt;&gt;&gt; Square Centimeters </v>
      </c>
      <c r="W116" t="s">
        <v>511</v>
      </c>
      <c r="X116" t="s">
        <v>512</v>
      </c>
      <c r="Y116">
        <v>5.07E-06</v>
      </c>
    </row>
    <row r="117" spans="2:25" ht="15">
      <c r="B117" s="339">
        <v>0.0935</v>
      </c>
      <c r="C117" s="340">
        <v>42</v>
      </c>
      <c r="F117" s="330">
        <v>0.013</v>
      </c>
      <c r="G117" s="331">
        <v>81</v>
      </c>
      <c r="I117" s="330">
        <v>1.25</v>
      </c>
      <c r="J117" s="331" t="s">
        <v>210</v>
      </c>
      <c r="O117" s="330">
        <v>0.2559</v>
      </c>
      <c r="P117" s="332">
        <v>6.5</v>
      </c>
      <c r="Q117" s="330">
        <v>0.2008</v>
      </c>
      <c r="R117" s="332">
        <v>5.1</v>
      </c>
      <c r="V117" t="str">
        <f t="shared" si="1"/>
        <v>Circular Mils  &lt;&lt;&lt;&gt;&gt;&gt; Square Inches </v>
      </c>
      <c r="W117" t="s">
        <v>511</v>
      </c>
      <c r="X117" t="s">
        <v>513</v>
      </c>
      <c r="Y117">
        <v>7.85E-07</v>
      </c>
    </row>
    <row r="118" spans="1:25" ht="15">
      <c r="A118" s="183" t="s">
        <v>225</v>
      </c>
      <c r="B118" s="339">
        <v>0.09380000000000001</v>
      </c>
      <c r="F118" s="330">
        <v>0.0135</v>
      </c>
      <c r="G118" s="331">
        <v>80</v>
      </c>
      <c r="I118" s="330">
        <v>1.2344</v>
      </c>
      <c r="J118" s="331" t="s">
        <v>208</v>
      </c>
      <c r="O118" s="330">
        <v>0.2598</v>
      </c>
      <c r="P118" s="332">
        <v>6.6</v>
      </c>
      <c r="Q118" s="330">
        <v>0.1969</v>
      </c>
      <c r="R118" s="332">
        <v>5</v>
      </c>
      <c r="V118" t="str">
        <f t="shared" si="1"/>
        <v>Circular Mils  &lt;&lt;&lt;&gt;&gt;&gt; Square Mils </v>
      </c>
      <c r="W118" t="s">
        <v>511</v>
      </c>
      <c r="X118" t="s">
        <v>514</v>
      </c>
      <c r="Y118">
        <v>0.7854</v>
      </c>
    </row>
    <row r="119" spans="2:25" ht="15">
      <c r="B119" s="339">
        <v>0.0945</v>
      </c>
      <c r="D119" s="1">
        <v>2.4</v>
      </c>
      <c r="F119" s="330">
        <v>0.0145</v>
      </c>
      <c r="G119" s="331">
        <v>79</v>
      </c>
      <c r="I119" s="330">
        <v>1.2188</v>
      </c>
      <c r="J119" s="331" t="s">
        <v>205</v>
      </c>
      <c r="O119" s="330">
        <v>0.2638</v>
      </c>
      <c r="P119" s="332">
        <v>6.7</v>
      </c>
      <c r="Q119" s="330">
        <v>0.1929</v>
      </c>
      <c r="R119" s="332">
        <v>4.9</v>
      </c>
      <c r="V119" t="str">
        <f t="shared" si="1"/>
        <v>Cord Feet  &lt;&lt;&lt;&gt;&gt;&gt; Cubic Feet </v>
      </c>
      <c r="W119" t="s">
        <v>515</v>
      </c>
      <c r="X119" t="s">
        <v>402</v>
      </c>
      <c r="Y119">
        <v>16</v>
      </c>
    </row>
    <row r="120" spans="2:25" ht="15">
      <c r="B120" s="339">
        <v>0.096</v>
      </c>
      <c r="C120" s="340">
        <v>41</v>
      </c>
      <c r="F120" s="330">
        <v>0.0156</v>
      </c>
      <c r="G120" s="331" t="s">
        <v>262</v>
      </c>
      <c r="I120" s="330">
        <v>1.2031</v>
      </c>
      <c r="J120" s="331" t="s">
        <v>203</v>
      </c>
      <c r="O120" s="330">
        <v>0.2657</v>
      </c>
      <c r="P120" s="332">
        <v>6.75</v>
      </c>
      <c r="Q120" s="330">
        <v>0.189</v>
      </c>
      <c r="R120" s="332">
        <v>4.8</v>
      </c>
      <c r="V120" t="str">
        <f t="shared" si="1"/>
        <v>Cubic Centimeter  &lt;&lt;&lt;&gt;&gt;&gt; Cubic foot </v>
      </c>
      <c r="W120" t="s">
        <v>516</v>
      </c>
      <c r="X120" t="s">
        <v>517</v>
      </c>
      <c r="Y120">
        <v>3.53E-05</v>
      </c>
    </row>
    <row r="121" spans="2:25" ht="15">
      <c r="B121" s="339">
        <v>0.0965</v>
      </c>
      <c r="D121" s="1">
        <v>2.45</v>
      </c>
      <c r="F121" s="330">
        <v>0.016</v>
      </c>
      <c r="G121" s="331">
        <v>78</v>
      </c>
      <c r="I121" s="330">
        <v>1.1875</v>
      </c>
      <c r="J121" s="331" t="s">
        <v>199</v>
      </c>
      <c r="O121" s="330">
        <v>0.2677</v>
      </c>
      <c r="P121" s="332">
        <v>6.8</v>
      </c>
      <c r="Q121" s="330">
        <v>0.187</v>
      </c>
      <c r="R121" s="332">
        <v>4.75</v>
      </c>
      <c r="V121" t="str">
        <f t="shared" si="1"/>
        <v>Cubic Centimeter  &lt;&lt;&lt;&gt;&gt;&gt; Cubic Inch </v>
      </c>
      <c r="W121" t="s">
        <v>516</v>
      </c>
      <c r="X121" t="s">
        <v>518</v>
      </c>
      <c r="Y121">
        <v>0.06102374</v>
      </c>
    </row>
    <row r="122" spans="2:25" ht="15">
      <c r="B122" s="339">
        <v>0.098</v>
      </c>
      <c r="C122" s="340">
        <v>40</v>
      </c>
      <c r="F122" s="330">
        <v>0.018</v>
      </c>
      <c r="G122" s="331">
        <v>77</v>
      </c>
      <c r="I122" s="330">
        <v>1.1719</v>
      </c>
      <c r="J122" s="331" t="s">
        <v>195</v>
      </c>
      <c r="O122" s="330">
        <v>0.2717</v>
      </c>
      <c r="P122" s="332">
        <v>6.9</v>
      </c>
      <c r="Q122" s="330">
        <v>0.185</v>
      </c>
      <c r="R122" s="332">
        <v>4.7</v>
      </c>
      <c r="V122" t="str">
        <f t="shared" si="1"/>
        <v>Cubic Centimeter  &lt;&lt;&lt;&gt;&gt;&gt; Cubic Inches </v>
      </c>
      <c r="W122" t="s">
        <v>516</v>
      </c>
      <c r="X122" t="s">
        <v>462</v>
      </c>
      <c r="Y122">
        <v>0.06102376</v>
      </c>
    </row>
    <row r="123" spans="2:25" ht="15">
      <c r="B123" s="339">
        <v>0.0984</v>
      </c>
      <c r="D123" s="1">
        <v>2.5</v>
      </c>
      <c r="F123" s="330">
        <v>0.02</v>
      </c>
      <c r="G123" s="331">
        <v>76</v>
      </c>
      <c r="I123" s="330">
        <v>1.1562</v>
      </c>
      <c r="J123" s="331" t="s">
        <v>192</v>
      </c>
      <c r="O123" s="330">
        <v>0.2756</v>
      </c>
      <c r="P123" s="332">
        <v>7</v>
      </c>
      <c r="Q123" s="330">
        <v>0.1811</v>
      </c>
      <c r="R123" s="332">
        <v>4.6</v>
      </c>
      <c r="V123" t="str">
        <f t="shared" si="1"/>
        <v>Cubic Centimeter  &lt;&lt;&lt;&gt;&gt;&gt; Cubic meter </v>
      </c>
      <c r="W123" t="s">
        <v>516</v>
      </c>
      <c r="X123" t="s">
        <v>519</v>
      </c>
      <c r="Y123">
        <v>1E-06</v>
      </c>
    </row>
    <row r="124" spans="2:25" ht="15">
      <c r="B124" s="339">
        <v>0.0995</v>
      </c>
      <c r="C124" s="340">
        <v>39</v>
      </c>
      <c r="F124" s="330">
        <v>0.021</v>
      </c>
      <c r="G124" s="331">
        <v>75</v>
      </c>
      <c r="I124" s="330">
        <v>1.1406</v>
      </c>
      <c r="J124" s="331" t="s">
        <v>190</v>
      </c>
      <c r="O124" s="330">
        <v>0.2795</v>
      </c>
      <c r="P124" s="332">
        <v>7.1</v>
      </c>
      <c r="Q124" s="330">
        <v>0.1772</v>
      </c>
      <c r="R124" s="332">
        <v>4.5</v>
      </c>
      <c r="V124" t="str">
        <f t="shared" si="1"/>
        <v>Cubic Centimeter  &lt;&lt;&lt;&gt;&gt;&gt; Cubic millimeter </v>
      </c>
      <c r="W124" t="s">
        <v>516</v>
      </c>
      <c r="X124" t="s">
        <v>520</v>
      </c>
      <c r="Y124">
        <v>1000</v>
      </c>
    </row>
    <row r="125" spans="2:25" ht="15">
      <c r="B125" s="339">
        <v>0.1015</v>
      </c>
      <c r="C125" s="340">
        <v>38</v>
      </c>
      <c r="F125" s="330">
        <v>0.0225</v>
      </c>
      <c r="G125" s="331">
        <v>74</v>
      </c>
      <c r="I125" s="330">
        <v>1.125</v>
      </c>
      <c r="J125" s="331" t="s">
        <v>187</v>
      </c>
      <c r="O125" s="330">
        <v>0.28350000000000003</v>
      </c>
      <c r="P125" s="332">
        <v>7.2</v>
      </c>
      <c r="Q125" s="330">
        <v>0.1732</v>
      </c>
      <c r="R125" s="332">
        <v>4.4</v>
      </c>
      <c r="V125" t="str">
        <f t="shared" si="1"/>
        <v>Cubic Centimeter  &lt;&lt;&lt;&gt;&gt;&gt; Cubic yard </v>
      </c>
      <c r="W125" t="s">
        <v>516</v>
      </c>
      <c r="X125" t="s">
        <v>521</v>
      </c>
      <c r="Y125">
        <v>1.31E-06</v>
      </c>
    </row>
    <row r="126" spans="2:25" ht="15">
      <c r="B126" s="339">
        <v>0.1024</v>
      </c>
      <c r="D126" s="1">
        <v>2.6</v>
      </c>
      <c r="F126" s="330">
        <v>0.024</v>
      </c>
      <c r="G126" s="331">
        <v>73</v>
      </c>
      <c r="I126" s="330">
        <v>1.1094</v>
      </c>
      <c r="J126" s="331" t="s">
        <v>184</v>
      </c>
      <c r="O126" s="330">
        <v>0.2854</v>
      </c>
      <c r="P126" s="332">
        <v>7.25</v>
      </c>
      <c r="Q126" s="330">
        <v>0.1693</v>
      </c>
      <c r="R126" s="332">
        <v>4.3</v>
      </c>
      <c r="V126" t="str">
        <f t="shared" si="1"/>
        <v>Cubic Centimeter  &lt;&lt;&lt;&gt;&gt;&gt; Drachm (Brit. fluid) </v>
      </c>
      <c r="W126" t="s">
        <v>516</v>
      </c>
      <c r="X126" t="s">
        <v>522</v>
      </c>
      <c r="Y126">
        <v>0.2815606</v>
      </c>
    </row>
    <row r="127" spans="2:25" ht="15">
      <c r="B127" s="339">
        <v>0.10400000000000001</v>
      </c>
      <c r="C127" s="340">
        <v>37</v>
      </c>
      <c r="F127" s="330">
        <v>0.025</v>
      </c>
      <c r="G127" s="331">
        <v>72</v>
      </c>
      <c r="I127" s="330">
        <v>1.0938</v>
      </c>
      <c r="J127" s="331" t="s">
        <v>181</v>
      </c>
      <c r="O127" s="330">
        <v>0.2874</v>
      </c>
      <c r="P127" s="332">
        <v>7.3</v>
      </c>
      <c r="Q127" s="330">
        <v>0.1673</v>
      </c>
      <c r="R127" s="332">
        <v>4.25</v>
      </c>
      <c r="V127" t="str">
        <f t="shared" si="1"/>
        <v>Cubic Centimeter  &lt;&lt;&lt;&gt;&gt;&gt; Dram (U.S. fluid) </v>
      </c>
      <c r="W127" t="s">
        <v>516</v>
      </c>
      <c r="X127" t="s">
        <v>523</v>
      </c>
      <c r="Y127">
        <v>0.2705122</v>
      </c>
    </row>
    <row r="128" spans="2:25" ht="15">
      <c r="B128" s="339">
        <v>0.1063</v>
      </c>
      <c r="D128" s="1">
        <v>2.7</v>
      </c>
      <c r="F128" s="330">
        <v>0.026</v>
      </c>
      <c r="G128" s="331">
        <v>71</v>
      </c>
      <c r="I128" s="330">
        <v>1.0781</v>
      </c>
      <c r="J128" s="331" t="s">
        <v>176</v>
      </c>
      <c r="O128" s="330">
        <v>0.2913</v>
      </c>
      <c r="P128" s="332">
        <v>7.4</v>
      </c>
      <c r="Q128" s="330">
        <v>0.1654</v>
      </c>
      <c r="R128" s="332">
        <v>4.2</v>
      </c>
      <c r="V128" t="str">
        <f t="shared" si="1"/>
        <v>Cubic Centimeter  &lt;&lt;&lt;&gt;&gt;&gt; Gallon (Brit liq.) </v>
      </c>
      <c r="W128" t="s">
        <v>516</v>
      </c>
      <c r="X128" t="s">
        <v>524</v>
      </c>
      <c r="Y128">
        <v>0.00022</v>
      </c>
    </row>
    <row r="129" spans="2:25" ht="15">
      <c r="B129" s="339">
        <v>0.1065</v>
      </c>
      <c r="C129" s="340">
        <v>36</v>
      </c>
      <c r="F129" s="330">
        <v>0.028</v>
      </c>
      <c r="G129" s="331">
        <v>70</v>
      </c>
      <c r="I129" s="330">
        <v>1.0625</v>
      </c>
      <c r="J129" s="331" t="s">
        <v>173</v>
      </c>
      <c r="O129" s="330">
        <v>0.2953</v>
      </c>
      <c r="P129" s="332">
        <v>7.5</v>
      </c>
      <c r="Q129" s="330">
        <v>0.1614</v>
      </c>
      <c r="R129" s="332">
        <v>4.1</v>
      </c>
      <c r="V129" t="str">
        <f t="shared" si="1"/>
        <v>Cubic Centimeter  &lt;&lt;&lt;&gt;&gt;&gt; Gallon (US liq.) </v>
      </c>
      <c r="W129" t="s">
        <v>516</v>
      </c>
      <c r="X129" t="s">
        <v>525</v>
      </c>
      <c r="Y129">
        <v>0.000264</v>
      </c>
    </row>
    <row r="130" spans="2:25" ht="15">
      <c r="B130" s="339">
        <v>0.1083</v>
      </c>
      <c r="D130" s="1">
        <v>2.75</v>
      </c>
      <c r="F130" s="330">
        <v>0.0292</v>
      </c>
      <c r="G130" s="331">
        <v>69</v>
      </c>
      <c r="I130" s="330">
        <v>1.0469</v>
      </c>
      <c r="J130" s="331" t="s">
        <v>171</v>
      </c>
      <c r="O130" s="330">
        <v>0.2992</v>
      </c>
      <c r="P130" s="332">
        <v>7.6</v>
      </c>
      <c r="Q130" s="330">
        <v>0.1575</v>
      </c>
      <c r="R130" s="332">
        <v>4</v>
      </c>
      <c r="V130" t="str">
        <f t="shared" si="1"/>
        <v>Cubic Centimeter  &lt;&lt;&lt;&gt;&gt;&gt; Liter </v>
      </c>
      <c r="W130" t="s">
        <v>516</v>
      </c>
      <c r="X130" t="s">
        <v>526</v>
      </c>
      <c r="Y130">
        <v>0.001</v>
      </c>
    </row>
    <row r="131" spans="1:25" ht="15">
      <c r="A131" s="183" t="s">
        <v>246</v>
      </c>
      <c r="B131" s="339">
        <v>0.1094</v>
      </c>
      <c r="F131" s="330">
        <v>0.031</v>
      </c>
      <c r="G131" s="331">
        <v>68</v>
      </c>
      <c r="I131" s="330">
        <v>1.0312</v>
      </c>
      <c r="J131" s="331" t="s">
        <v>168</v>
      </c>
      <c r="O131" s="330">
        <v>0.3031</v>
      </c>
      <c r="P131" s="332">
        <v>7.7</v>
      </c>
      <c r="Q131" s="330">
        <v>0.1535</v>
      </c>
      <c r="R131" s="332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516</v>
      </c>
      <c r="X131" t="s">
        <v>527</v>
      </c>
      <c r="Y131">
        <v>0.002113</v>
      </c>
    </row>
    <row r="132" spans="2:25" ht="15">
      <c r="B132" s="339">
        <v>0.11</v>
      </c>
      <c r="C132" s="340">
        <v>35</v>
      </c>
      <c r="F132" s="330">
        <v>0.0312</v>
      </c>
      <c r="G132" s="331" t="s">
        <v>263</v>
      </c>
      <c r="I132" s="330">
        <v>1.0156</v>
      </c>
      <c r="J132" s="331" t="s">
        <v>166</v>
      </c>
      <c r="O132" s="330">
        <v>0.3051</v>
      </c>
      <c r="P132" s="332">
        <v>7.75</v>
      </c>
      <c r="Q132" s="330">
        <v>0.1496</v>
      </c>
      <c r="R132" s="332">
        <v>3.8</v>
      </c>
      <c r="V132" t="str">
        <f t="shared" si="2"/>
        <v>Cubic Centimeter  &lt;&lt;&lt;&gt;&gt;&gt; Quart (US liq.) </v>
      </c>
      <c r="W132" t="s">
        <v>516</v>
      </c>
      <c r="X132" t="s">
        <v>528</v>
      </c>
      <c r="Y132">
        <v>0.001057</v>
      </c>
    </row>
    <row r="133" spans="2:25" ht="15">
      <c r="B133" s="339">
        <v>0.1102</v>
      </c>
      <c r="D133" s="1">
        <v>2.8</v>
      </c>
      <c r="F133" s="330">
        <v>0.032</v>
      </c>
      <c r="G133" s="331">
        <v>67</v>
      </c>
      <c r="I133" s="330">
        <v>1</v>
      </c>
      <c r="J133" s="331" t="s">
        <v>163</v>
      </c>
      <c r="O133" s="330">
        <v>0.3071</v>
      </c>
      <c r="P133" s="332">
        <v>7.8</v>
      </c>
      <c r="Q133" s="330">
        <v>0.1476</v>
      </c>
      <c r="R133" s="332">
        <v>3.75</v>
      </c>
      <c r="V133" t="str">
        <f t="shared" si="2"/>
        <v>Cubic Feet  &lt;&lt;&lt;&gt;&gt;&gt; Bushels (dry) </v>
      </c>
      <c r="W133" t="s">
        <v>402</v>
      </c>
      <c r="X133" t="s">
        <v>529</v>
      </c>
      <c r="Y133">
        <v>0.8036</v>
      </c>
    </row>
    <row r="134" spans="2:25" ht="15">
      <c r="B134" s="339">
        <v>0.111</v>
      </c>
      <c r="C134" s="340">
        <v>34</v>
      </c>
      <c r="F134" s="330">
        <v>0.033</v>
      </c>
      <c r="G134" s="331">
        <v>66</v>
      </c>
      <c r="I134" s="330">
        <v>0.9844</v>
      </c>
      <c r="J134" s="331" t="s">
        <v>161</v>
      </c>
      <c r="O134" s="330">
        <v>0.311</v>
      </c>
      <c r="P134" s="332">
        <v>7.9</v>
      </c>
      <c r="Q134" s="330">
        <v>0.1457</v>
      </c>
      <c r="R134" s="332">
        <v>3.7</v>
      </c>
      <c r="V134" t="str">
        <f t="shared" si="2"/>
        <v>Cubic Feet  &lt;&lt;&lt;&gt;&gt;&gt; Cubic Centimeters </v>
      </c>
      <c r="W134" t="s">
        <v>402</v>
      </c>
      <c r="X134" t="s">
        <v>530</v>
      </c>
      <c r="Y134">
        <v>28320</v>
      </c>
    </row>
    <row r="135" spans="2:25" ht="15">
      <c r="B135" s="339">
        <v>0.113</v>
      </c>
      <c r="C135" s="340">
        <v>33</v>
      </c>
      <c r="F135" s="330">
        <v>0.035</v>
      </c>
      <c r="G135" s="331">
        <v>65</v>
      </c>
      <c r="I135" s="330">
        <v>0.9688</v>
      </c>
      <c r="J135" s="331" t="s">
        <v>156</v>
      </c>
      <c r="O135" s="330">
        <v>0.315</v>
      </c>
      <c r="P135" s="332">
        <v>8</v>
      </c>
      <c r="Q135" s="330">
        <v>0.1417</v>
      </c>
      <c r="R135" s="332">
        <v>3.6</v>
      </c>
      <c r="V135" t="str">
        <f t="shared" si="2"/>
        <v>Cubic Feet  &lt;&lt;&lt;&gt;&gt;&gt; Cubic Inches </v>
      </c>
      <c r="W135" t="s">
        <v>402</v>
      </c>
      <c r="X135" t="s">
        <v>462</v>
      </c>
      <c r="Y135">
        <v>1728</v>
      </c>
    </row>
    <row r="136" spans="2:25" ht="15">
      <c r="B136" s="339">
        <v>0.1142</v>
      </c>
      <c r="D136" s="1">
        <v>2.9</v>
      </c>
      <c r="F136" s="330">
        <v>0.036</v>
      </c>
      <c r="G136" s="331">
        <v>64</v>
      </c>
      <c r="I136" s="330">
        <v>0.9531</v>
      </c>
      <c r="J136" s="331" t="s">
        <v>153</v>
      </c>
      <c r="O136" s="330">
        <v>0.3189</v>
      </c>
      <c r="P136" s="332">
        <v>8.1</v>
      </c>
      <c r="Q136" s="330">
        <v>0.1378</v>
      </c>
      <c r="R136" s="332">
        <v>3.5</v>
      </c>
      <c r="V136" t="str">
        <f t="shared" si="2"/>
        <v>Cubic Feet  &lt;&lt;&lt;&gt;&gt;&gt; Cubic Meters </v>
      </c>
      <c r="W136" t="s">
        <v>402</v>
      </c>
      <c r="X136" t="s">
        <v>463</v>
      </c>
      <c r="Y136">
        <v>0.02831685</v>
      </c>
    </row>
    <row r="137" spans="2:25" ht="15">
      <c r="B137" s="339">
        <v>0.116</v>
      </c>
      <c r="C137" s="340">
        <v>32</v>
      </c>
      <c r="F137" s="330">
        <v>0.037</v>
      </c>
      <c r="G137" s="331">
        <v>63</v>
      </c>
      <c r="I137" s="330">
        <v>0.9375</v>
      </c>
      <c r="J137" s="331" t="s">
        <v>151</v>
      </c>
      <c r="O137" s="330">
        <v>0.3228</v>
      </c>
      <c r="P137" s="332">
        <v>8.2</v>
      </c>
      <c r="Q137" s="330">
        <v>0.1339</v>
      </c>
      <c r="R137" s="332">
        <v>3.4</v>
      </c>
      <c r="V137" t="str">
        <f t="shared" si="2"/>
        <v>Cubic Feet  &lt;&lt;&lt;&gt;&gt;&gt; Cubic Yards </v>
      </c>
      <c r="W137" t="s">
        <v>402</v>
      </c>
      <c r="X137" t="s">
        <v>531</v>
      </c>
      <c r="Y137">
        <v>0.037037037</v>
      </c>
    </row>
    <row r="138" spans="2:25" ht="15">
      <c r="B138" s="339">
        <v>0.1181</v>
      </c>
      <c r="D138" s="1">
        <v>3</v>
      </c>
      <c r="F138" s="330">
        <v>0.038</v>
      </c>
      <c r="G138" s="331">
        <v>62</v>
      </c>
      <c r="I138" s="330">
        <v>0.9219</v>
      </c>
      <c r="J138" s="331" t="s">
        <v>149</v>
      </c>
      <c r="O138" s="330">
        <v>0.3248</v>
      </c>
      <c r="P138" s="332">
        <v>8.25</v>
      </c>
      <c r="Q138" s="330">
        <v>0.1299</v>
      </c>
      <c r="R138" s="332">
        <v>3.3</v>
      </c>
      <c r="V138" t="str">
        <f t="shared" si="2"/>
        <v>Cubic Feet  &lt;&lt;&lt;&gt;&gt;&gt; Gallons (US liq.) </v>
      </c>
      <c r="W138" t="s">
        <v>402</v>
      </c>
      <c r="X138" t="s">
        <v>532</v>
      </c>
      <c r="Y138">
        <v>7.48052</v>
      </c>
    </row>
    <row r="139" spans="2:25" ht="15">
      <c r="B139" s="339">
        <v>0.12</v>
      </c>
      <c r="C139" s="340">
        <v>31</v>
      </c>
      <c r="F139" s="330">
        <v>0.039</v>
      </c>
      <c r="G139" s="331">
        <v>61</v>
      </c>
      <c r="I139" s="330">
        <v>0.9062</v>
      </c>
      <c r="J139" s="331" t="s">
        <v>146</v>
      </c>
      <c r="O139" s="330">
        <v>0.3268</v>
      </c>
      <c r="P139" s="332">
        <v>8.3</v>
      </c>
      <c r="Q139" s="330">
        <v>0.128</v>
      </c>
      <c r="R139" s="332">
        <v>3.25</v>
      </c>
      <c r="V139" t="str">
        <f t="shared" si="2"/>
        <v>Cubic Feet  &lt;&lt;&lt;&gt;&gt;&gt; Liters </v>
      </c>
      <c r="W139" t="s">
        <v>402</v>
      </c>
      <c r="X139" t="s">
        <v>464</v>
      </c>
      <c r="Y139">
        <v>28.31685</v>
      </c>
    </row>
    <row r="140" spans="2:25" ht="15">
      <c r="B140" s="339">
        <v>0.122</v>
      </c>
      <c r="D140" s="1">
        <v>3.1</v>
      </c>
      <c r="F140" s="330">
        <v>0.04</v>
      </c>
      <c r="G140" s="331">
        <v>60</v>
      </c>
      <c r="I140" s="330">
        <v>0.8906</v>
      </c>
      <c r="J140" s="331" t="s">
        <v>259</v>
      </c>
      <c r="O140" s="330">
        <v>0.3307</v>
      </c>
      <c r="P140" s="332">
        <v>8.4</v>
      </c>
      <c r="Q140" s="330">
        <v>0.126</v>
      </c>
      <c r="R140" s="332">
        <v>3.2</v>
      </c>
      <c r="V140" t="str">
        <f t="shared" si="2"/>
        <v>Cubic Feet  &lt;&lt;&lt;&gt;&gt;&gt; Pints (US liq.) </v>
      </c>
      <c r="W140" t="s">
        <v>402</v>
      </c>
      <c r="X140" t="s">
        <v>533</v>
      </c>
      <c r="Y140">
        <v>59.84</v>
      </c>
    </row>
    <row r="141" spans="1:25" ht="15">
      <c r="A141" s="183" t="s">
        <v>147</v>
      </c>
      <c r="B141" s="339">
        <v>0.125</v>
      </c>
      <c r="F141" s="330">
        <v>0.041</v>
      </c>
      <c r="G141" s="331">
        <v>59</v>
      </c>
      <c r="I141" s="330">
        <v>0.875</v>
      </c>
      <c r="J141" s="331" t="s">
        <v>256</v>
      </c>
      <c r="O141" s="330">
        <v>0.3346</v>
      </c>
      <c r="P141" s="332">
        <v>8.5</v>
      </c>
      <c r="Q141" s="330">
        <v>0.122</v>
      </c>
      <c r="R141" s="332">
        <v>3.1</v>
      </c>
      <c r="V141" t="str">
        <f t="shared" si="2"/>
        <v>Cubic Feet  &lt;&lt;&lt;&gt;&gt;&gt; Quarts (US liq) </v>
      </c>
      <c r="W141" t="s">
        <v>402</v>
      </c>
      <c r="X141" t="s">
        <v>534</v>
      </c>
      <c r="Y141">
        <v>29.92</v>
      </c>
    </row>
    <row r="142" spans="2:25" ht="15">
      <c r="B142" s="339">
        <v>0.126</v>
      </c>
      <c r="D142" s="1">
        <v>3.2</v>
      </c>
      <c r="F142" s="330">
        <v>0.042</v>
      </c>
      <c r="G142" s="331">
        <v>58</v>
      </c>
      <c r="I142" s="330">
        <v>0.8594</v>
      </c>
      <c r="J142" s="331" t="s">
        <v>254</v>
      </c>
      <c r="O142" s="330">
        <v>0.3386</v>
      </c>
      <c r="P142" s="332">
        <v>8.6</v>
      </c>
      <c r="Q142" s="330">
        <v>0.1181</v>
      </c>
      <c r="R142" s="332">
        <v>3</v>
      </c>
      <c r="V142" t="str">
        <f t="shared" si="2"/>
        <v>Cubic Feet per Minute &lt;&lt;&lt;&gt;&gt;&gt; Cubic Meters per Second</v>
      </c>
      <c r="W142" t="s">
        <v>535</v>
      </c>
      <c r="X142" t="s">
        <v>536</v>
      </c>
      <c r="Y142">
        <v>0.0004719474</v>
      </c>
    </row>
    <row r="143" spans="2:25" ht="15">
      <c r="B143" s="339">
        <v>0.128</v>
      </c>
      <c r="D143" s="1">
        <v>3.25</v>
      </c>
      <c r="F143" s="330">
        <v>0.043000000000000003</v>
      </c>
      <c r="G143" s="331">
        <v>57</v>
      </c>
      <c r="I143" s="330">
        <v>0.8438</v>
      </c>
      <c r="J143" s="331" t="s">
        <v>251</v>
      </c>
      <c r="O143" s="330">
        <v>0.3425</v>
      </c>
      <c r="P143" s="332">
        <v>8.7</v>
      </c>
      <c r="Q143" s="330">
        <v>0.1142</v>
      </c>
      <c r="R143" s="332">
        <v>2.9</v>
      </c>
      <c r="V143" t="str">
        <f t="shared" si="2"/>
        <v>Cubic Feet per Minute &lt;&lt;&lt;&gt;&gt;&gt; Liters per Minute</v>
      </c>
      <c r="W143" t="s">
        <v>535</v>
      </c>
      <c r="X143" t="s">
        <v>537</v>
      </c>
      <c r="Y143">
        <v>28.31685</v>
      </c>
    </row>
    <row r="144" spans="2:25" ht="15">
      <c r="B144" s="339">
        <v>0.1285</v>
      </c>
      <c r="C144" s="340">
        <v>30</v>
      </c>
      <c r="F144" s="330">
        <v>0.0465</v>
      </c>
      <c r="G144" s="331">
        <v>56</v>
      </c>
      <c r="I144" s="330">
        <v>0.8281</v>
      </c>
      <c r="J144" s="331" t="s">
        <v>249</v>
      </c>
      <c r="O144" s="330">
        <v>0.34450000000000003</v>
      </c>
      <c r="P144" s="332">
        <v>8.75</v>
      </c>
      <c r="Q144" s="330">
        <v>0.1102</v>
      </c>
      <c r="R144" s="332">
        <v>2.8</v>
      </c>
      <c r="V144" t="str">
        <f t="shared" si="2"/>
        <v>Cubic Feet/Minute  &lt;&lt;&lt;&gt;&gt;&gt; Cubic cms/Second </v>
      </c>
      <c r="W144" t="s">
        <v>538</v>
      </c>
      <c r="X144" t="s">
        <v>539</v>
      </c>
      <c r="Y144">
        <v>472</v>
      </c>
    </row>
    <row r="145" spans="2:25" ht="15">
      <c r="B145" s="339">
        <v>0.1299</v>
      </c>
      <c r="D145" s="1">
        <v>3.3</v>
      </c>
      <c r="F145" s="330">
        <v>0.046900000000000004</v>
      </c>
      <c r="G145" s="331" t="s">
        <v>157</v>
      </c>
      <c r="I145" s="330">
        <v>0.8125</v>
      </c>
      <c r="J145" s="331" t="s">
        <v>244</v>
      </c>
      <c r="O145" s="330">
        <v>0.34650000000000003</v>
      </c>
      <c r="P145" s="332">
        <v>8.8</v>
      </c>
      <c r="Q145" s="330">
        <v>0.1083</v>
      </c>
      <c r="R145" s="332">
        <v>2.75</v>
      </c>
      <c r="V145" t="str">
        <f t="shared" si="2"/>
        <v>Cubic Feet/Minute  &lt;&lt;&lt;&gt;&gt;&gt; Gallons/Second </v>
      </c>
      <c r="W145" t="s">
        <v>538</v>
      </c>
      <c r="X145" t="s">
        <v>540</v>
      </c>
      <c r="Y145">
        <v>0.1247</v>
      </c>
    </row>
    <row r="146" spans="2:25" ht="15">
      <c r="B146" s="339">
        <v>0.1339</v>
      </c>
      <c r="D146" s="1">
        <v>3.4</v>
      </c>
      <c r="F146" s="330">
        <v>0.052000000000000005</v>
      </c>
      <c r="G146" s="331">
        <v>55</v>
      </c>
      <c r="I146" s="330">
        <v>0.7969</v>
      </c>
      <c r="J146" s="331" t="s">
        <v>241</v>
      </c>
      <c r="O146" s="330">
        <v>0.3504</v>
      </c>
      <c r="P146" s="332">
        <v>8.9</v>
      </c>
      <c r="Q146" s="330">
        <v>0.1063</v>
      </c>
      <c r="R146" s="332">
        <v>2.7</v>
      </c>
      <c r="V146" t="str">
        <f t="shared" si="2"/>
        <v>Cubic Feet/Minute  &lt;&lt;&lt;&gt;&gt;&gt; Liters/Second </v>
      </c>
      <c r="W146" t="s">
        <v>538</v>
      </c>
      <c r="X146" t="s">
        <v>541</v>
      </c>
      <c r="Y146">
        <v>0.472</v>
      </c>
    </row>
    <row r="147" spans="2:25" ht="15">
      <c r="B147" s="339">
        <v>0.136</v>
      </c>
      <c r="C147" s="340">
        <v>29</v>
      </c>
      <c r="F147" s="330">
        <v>0.055</v>
      </c>
      <c r="G147" s="331">
        <v>54</v>
      </c>
      <c r="I147" s="330">
        <v>0.7812</v>
      </c>
      <c r="J147" s="331" t="s">
        <v>239</v>
      </c>
      <c r="O147" s="330">
        <v>0.3543</v>
      </c>
      <c r="P147" s="332">
        <v>9</v>
      </c>
      <c r="Q147" s="330">
        <v>0.1024</v>
      </c>
      <c r="R147" s="332">
        <v>2.6</v>
      </c>
      <c r="V147" t="str">
        <f t="shared" si="2"/>
        <v>Cubic Feet/Minute  &lt;&lt;&lt;&gt;&gt;&gt; Pounds of water/Minute </v>
      </c>
      <c r="W147" t="s">
        <v>538</v>
      </c>
      <c r="X147" t="s">
        <v>542</v>
      </c>
      <c r="Y147">
        <v>62.43</v>
      </c>
    </row>
    <row r="148" spans="2:25" ht="15">
      <c r="B148" s="339">
        <v>0.1378</v>
      </c>
      <c r="D148" s="1">
        <v>3.5</v>
      </c>
      <c r="F148" s="330">
        <v>0.059500000000000004</v>
      </c>
      <c r="G148" s="331">
        <v>53</v>
      </c>
      <c r="I148" s="330">
        <v>0.7656</v>
      </c>
      <c r="J148" s="331" t="s">
        <v>236</v>
      </c>
      <c r="O148" s="330">
        <v>0.3583</v>
      </c>
      <c r="P148" s="332">
        <v>9.1</v>
      </c>
      <c r="Q148" s="330">
        <v>0.0984</v>
      </c>
      <c r="R148" s="332">
        <v>2.5</v>
      </c>
      <c r="V148" t="str">
        <f t="shared" si="2"/>
        <v>Cubic Feet/Second  &lt;&lt;&lt;&gt;&gt;&gt; Gallons/Minute </v>
      </c>
      <c r="W148" t="s">
        <v>543</v>
      </c>
      <c r="X148" t="s">
        <v>544</v>
      </c>
      <c r="Y148">
        <v>448.831</v>
      </c>
    </row>
    <row r="149" spans="2:25" ht="15">
      <c r="B149" s="339">
        <v>0.1405</v>
      </c>
      <c r="C149" s="340">
        <v>28</v>
      </c>
      <c r="F149" s="330">
        <v>0.0625</v>
      </c>
      <c r="G149" s="331" t="s">
        <v>177</v>
      </c>
      <c r="I149" s="330">
        <v>0.75</v>
      </c>
      <c r="J149" s="331" t="s">
        <v>233</v>
      </c>
      <c r="O149" s="330">
        <v>0.3622</v>
      </c>
      <c r="P149" s="332">
        <v>9.2</v>
      </c>
      <c r="Q149" s="330">
        <v>0.0965</v>
      </c>
      <c r="R149" s="332">
        <v>2.45</v>
      </c>
      <c r="V149" t="str">
        <f t="shared" si="2"/>
        <v>Cubic Feet/Second  &lt;&lt;&lt;&gt;&gt;&gt; Million Gallons/day </v>
      </c>
      <c r="W149" t="s">
        <v>543</v>
      </c>
      <c r="X149" t="s">
        <v>545</v>
      </c>
      <c r="Y149">
        <v>0.646317</v>
      </c>
    </row>
    <row r="150" spans="1:25" ht="15">
      <c r="A150" s="183" t="s">
        <v>162</v>
      </c>
      <c r="B150" s="339">
        <v>0.1406</v>
      </c>
      <c r="F150" s="330">
        <v>0.0635</v>
      </c>
      <c r="G150" s="331">
        <v>52</v>
      </c>
      <c r="I150" s="330">
        <v>0.7344</v>
      </c>
      <c r="J150" s="331" t="s">
        <v>230</v>
      </c>
      <c r="O150" s="330">
        <v>0.3642</v>
      </c>
      <c r="P150" s="332">
        <v>9.25</v>
      </c>
      <c r="Q150" s="330">
        <v>0.0945</v>
      </c>
      <c r="R150" s="332">
        <v>2.4</v>
      </c>
      <c r="V150" t="str">
        <f t="shared" si="2"/>
        <v>Cubic Inches  &lt;&lt;&lt;&gt;&gt;&gt; Cubic Centimeters</v>
      </c>
      <c r="W150" t="s">
        <v>462</v>
      </c>
      <c r="X150" t="s">
        <v>546</v>
      </c>
      <c r="Y150">
        <v>16.38706</v>
      </c>
    </row>
    <row r="151" spans="2:25" ht="15">
      <c r="B151" s="339">
        <v>0.1417</v>
      </c>
      <c r="D151" s="1">
        <v>3.6</v>
      </c>
      <c r="F151" s="330">
        <v>0.067</v>
      </c>
      <c r="G151" s="331">
        <v>51</v>
      </c>
      <c r="I151" s="330">
        <v>0.7188</v>
      </c>
      <c r="J151" s="331" t="s">
        <v>227</v>
      </c>
      <c r="O151" s="330">
        <v>0.3661</v>
      </c>
      <c r="P151" s="332">
        <v>9.3</v>
      </c>
      <c r="Q151" s="330">
        <v>0.0925</v>
      </c>
      <c r="R151" s="332">
        <v>2.35</v>
      </c>
      <c r="V151" t="str">
        <f t="shared" si="2"/>
        <v>Cubic Inches  &lt;&lt;&lt;&gt;&gt;&gt; Cubic Centimeters </v>
      </c>
      <c r="W151" t="s">
        <v>462</v>
      </c>
      <c r="X151" t="s">
        <v>530</v>
      </c>
      <c r="Y151">
        <v>16.39</v>
      </c>
    </row>
    <row r="152" spans="2:25" ht="15">
      <c r="B152" s="339">
        <v>0.14400000000000002</v>
      </c>
      <c r="C152" s="340">
        <v>27</v>
      </c>
      <c r="F152" s="330">
        <v>0.07</v>
      </c>
      <c r="G152" s="331">
        <v>50</v>
      </c>
      <c r="I152" s="330">
        <v>0.7031</v>
      </c>
      <c r="J152" s="331" t="s">
        <v>223</v>
      </c>
      <c r="O152" s="330">
        <v>0.3701</v>
      </c>
      <c r="P152" s="332">
        <v>9.4</v>
      </c>
      <c r="Q152" s="330">
        <v>0.0906</v>
      </c>
      <c r="R152" s="332">
        <v>2.3</v>
      </c>
      <c r="V152" t="str">
        <f t="shared" si="2"/>
        <v>Cubic Inches  &lt;&lt;&lt;&gt;&gt;&gt; Cubic Feet </v>
      </c>
      <c r="W152" t="s">
        <v>462</v>
      </c>
      <c r="X152" t="s">
        <v>402</v>
      </c>
      <c r="Y152">
        <v>0.0005787</v>
      </c>
    </row>
    <row r="153" spans="2:25" ht="15">
      <c r="B153" s="339">
        <v>0.1457</v>
      </c>
      <c r="D153" s="1">
        <v>3.7</v>
      </c>
      <c r="F153" s="330">
        <v>0.073</v>
      </c>
      <c r="G153" s="331">
        <v>49</v>
      </c>
      <c r="I153" s="330">
        <v>0.6875</v>
      </c>
      <c r="J153" s="331" t="s">
        <v>220</v>
      </c>
      <c r="O153" s="330">
        <v>0.374</v>
      </c>
      <c r="P153" s="332">
        <v>9.5</v>
      </c>
      <c r="Q153" s="330">
        <v>0.0886</v>
      </c>
      <c r="R153" s="332">
        <v>2.25</v>
      </c>
      <c r="V153" t="str">
        <f t="shared" si="2"/>
        <v>Cubic Inches  &lt;&lt;&lt;&gt;&gt;&gt; Cubic Meters </v>
      </c>
      <c r="W153" t="s">
        <v>462</v>
      </c>
      <c r="X153" t="s">
        <v>463</v>
      </c>
      <c r="Y153">
        <v>1.638706E-05</v>
      </c>
    </row>
    <row r="154" spans="2:25" ht="15">
      <c r="B154" s="339">
        <v>0.147</v>
      </c>
      <c r="C154" s="340">
        <v>26</v>
      </c>
      <c r="F154" s="330">
        <v>0.076</v>
      </c>
      <c r="G154" s="331">
        <v>48</v>
      </c>
      <c r="I154" s="330">
        <v>0.6719</v>
      </c>
      <c r="J154" s="331" t="s">
        <v>218</v>
      </c>
      <c r="O154" s="330">
        <v>0.378</v>
      </c>
      <c r="P154" s="332">
        <v>9.6</v>
      </c>
      <c r="Q154" s="330">
        <v>0.08660000000000001</v>
      </c>
      <c r="R154" s="332">
        <v>2.2</v>
      </c>
      <c r="V154" t="str">
        <f t="shared" si="2"/>
        <v>Cubic Inches  &lt;&lt;&lt;&gt;&gt;&gt; Cubic Millimeters</v>
      </c>
      <c r="W154" t="s">
        <v>462</v>
      </c>
      <c r="X154" t="s">
        <v>547</v>
      </c>
      <c r="Y154">
        <v>16387.06</v>
      </c>
    </row>
    <row r="155" spans="2:25" ht="15">
      <c r="B155" s="339">
        <v>0.1476</v>
      </c>
      <c r="D155" s="1">
        <v>3.75</v>
      </c>
      <c r="F155" s="330">
        <v>0.0781</v>
      </c>
      <c r="G155" s="331" t="s">
        <v>201</v>
      </c>
      <c r="I155" s="330">
        <v>0.6562</v>
      </c>
      <c r="J155" s="331" t="s">
        <v>215</v>
      </c>
      <c r="O155" s="330">
        <v>0.3819</v>
      </c>
      <c r="P155" s="332">
        <v>9.7</v>
      </c>
      <c r="Q155" s="330">
        <v>0.08460000000000001</v>
      </c>
      <c r="R155" s="332">
        <v>2.15</v>
      </c>
      <c r="V155" t="str">
        <f t="shared" si="2"/>
        <v>Cubic Inches  &lt;&lt;&lt;&gt;&gt;&gt; Cubic Yards </v>
      </c>
      <c r="W155" t="s">
        <v>462</v>
      </c>
      <c r="X155" t="s">
        <v>531</v>
      </c>
      <c r="Y155">
        <v>2.14E-05</v>
      </c>
    </row>
    <row r="156" spans="2:25" ht="15">
      <c r="B156" s="339">
        <v>0.1495</v>
      </c>
      <c r="C156" s="340">
        <v>25</v>
      </c>
      <c r="F156" s="330">
        <v>0.0785</v>
      </c>
      <c r="G156" s="331">
        <v>47</v>
      </c>
      <c r="I156" s="330">
        <v>0.6406</v>
      </c>
      <c r="J156" s="331" t="s">
        <v>211</v>
      </c>
      <c r="O156" s="330">
        <v>0.3839</v>
      </c>
      <c r="P156" s="332">
        <v>9.75</v>
      </c>
      <c r="Q156" s="330">
        <v>0.08270000000000001</v>
      </c>
      <c r="R156" s="332">
        <v>2.1</v>
      </c>
      <c r="V156" t="str">
        <f t="shared" si="2"/>
        <v>Cubic Inches  &lt;&lt;&lt;&gt;&gt;&gt; Gallons </v>
      </c>
      <c r="W156" t="s">
        <v>462</v>
      </c>
      <c r="X156" t="s">
        <v>434</v>
      </c>
      <c r="Y156">
        <v>0.004329</v>
      </c>
    </row>
    <row r="157" spans="2:25" ht="15">
      <c r="B157" s="339">
        <v>0.1496</v>
      </c>
      <c r="D157" s="1">
        <v>3.8</v>
      </c>
      <c r="F157" s="330">
        <v>0.081</v>
      </c>
      <c r="G157" s="331">
        <v>46</v>
      </c>
      <c r="I157" s="330">
        <v>0.625</v>
      </c>
      <c r="J157" s="331" t="s">
        <v>209</v>
      </c>
      <c r="O157" s="330">
        <v>0.3858</v>
      </c>
      <c r="P157" s="332">
        <v>9.8</v>
      </c>
      <c r="Q157" s="330">
        <v>0.08070000000000001</v>
      </c>
      <c r="R157" s="332">
        <v>2.05</v>
      </c>
      <c r="V157" t="str">
        <f t="shared" si="2"/>
        <v>Cubic Inches  &lt;&lt;&lt;&gt;&gt;&gt; Mil-Feet </v>
      </c>
      <c r="W157" t="s">
        <v>462</v>
      </c>
      <c r="X157" t="s">
        <v>548</v>
      </c>
      <c r="Y157">
        <v>106100</v>
      </c>
    </row>
    <row r="158" spans="2:25" ht="15">
      <c r="B158" s="339">
        <v>0.152</v>
      </c>
      <c r="C158" s="340">
        <v>24</v>
      </c>
      <c r="F158" s="330">
        <v>0.082</v>
      </c>
      <c r="G158" s="331">
        <v>45</v>
      </c>
      <c r="I158" s="330">
        <v>0.6094</v>
      </c>
      <c r="J158" s="331" t="s">
        <v>207</v>
      </c>
      <c r="O158" s="330">
        <v>0.3898</v>
      </c>
      <c r="P158" s="332">
        <v>9.9</v>
      </c>
      <c r="Q158" s="330">
        <v>0.0787</v>
      </c>
      <c r="R158" s="332">
        <v>2</v>
      </c>
      <c r="V158" t="str">
        <f t="shared" si="2"/>
        <v>Cubic Inches  &lt;&lt;&lt;&gt;&gt;&gt; Pints (US liq.) </v>
      </c>
      <c r="W158" t="s">
        <v>462</v>
      </c>
      <c r="X158" t="s">
        <v>533</v>
      </c>
      <c r="Y158">
        <v>0.03463</v>
      </c>
    </row>
    <row r="159" spans="2:25" ht="15">
      <c r="B159" s="339">
        <v>0.1535</v>
      </c>
      <c r="D159" s="1">
        <v>3.9</v>
      </c>
      <c r="F159" s="330">
        <v>0.08600000000000001</v>
      </c>
      <c r="G159" s="331">
        <v>44</v>
      </c>
      <c r="I159" s="330">
        <v>0.5938</v>
      </c>
      <c r="J159" s="331" t="s">
        <v>204</v>
      </c>
      <c r="O159" s="330">
        <v>0.3937</v>
      </c>
      <c r="P159" s="332">
        <v>10</v>
      </c>
      <c r="Q159" s="330">
        <v>0.07680000000000001</v>
      </c>
      <c r="R159" s="332">
        <v>1.95</v>
      </c>
      <c r="V159" t="str">
        <f t="shared" si="2"/>
        <v>Cubic Inches  &lt;&lt;&lt;&gt;&gt;&gt; Quarts (US liq.) </v>
      </c>
      <c r="W159" t="s">
        <v>462</v>
      </c>
      <c r="X159" t="s">
        <v>549</v>
      </c>
      <c r="Y159">
        <v>0.01732</v>
      </c>
    </row>
    <row r="160" spans="2:25" ht="15">
      <c r="B160" s="339">
        <v>0.154</v>
      </c>
      <c r="C160" s="340">
        <v>23</v>
      </c>
      <c r="F160" s="330">
        <v>0.089</v>
      </c>
      <c r="G160" s="331">
        <v>43</v>
      </c>
      <c r="I160" s="330">
        <v>0.5781</v>
      </c>
      <c r="J160" s="331" t="s">
        <v>200</v>
      </c>
      <c r="O160" s="330">
        <v>0.4134</v>
      </c>
      <c r="P160" s="332">
        <v>10.5</v>
      </c>
      <c r="Q160" s="330">
        <v>0.0748</v>
      </c>
      <c r="R160" s="332">
        <v>1.9</v>
      </c>
      <c r="V160" t="str">
        <f t="shared" si="2"/>
        <v>Cubic Meters  &lt;&lt;&lt;&gt;&gt;&gt; Bushels (dry) </v>
      </c>
      <c r="W160" t="s">
        <v>463</v>
      </c>
      <c r="X160" t="s">
        <v>529</v>
      </c>
      <c r="Y160">
        <v>28.38</v>
      </c>
    </row>
    <row r="161" spans="1:25" ht="15">
      <c r="A161" s="183" t="s">
        <v>179</v>
      </c>
      <c r="B161" s="339">
        <v>0.1562</v>
      </c>
      <c r="F161" s="330">
        <v>0.0935</v>
      </c>
      <c r="G161" s="331">
        <v>42</v>
      </c>
      <c r="I161" s="330">
        <v>0.5625</v>
      </c>
      <c r="J161" s="331" t="s">
        <v>196</v>
      </c>
      <c r="O161" s="330">
        <v>0.4331</v>
      </c>
      <c r="P161" s="332">
        <v>11</v>
      </c>
      <c r="Q161" s="330">
        <v>0.0728</v>
      </c>
      <c r="R161" s="332">
        <v>1.85</v>
      </c>
      <c r="V161" t="str">
        <f t="shared" si="2"/>
        <v>Cubic Meters  &lt;&lt;&lt;&gt;&gt;&gt; Cubic Centimeters </v>
      </c>
      <c r="W161" t="s">
        <v>463</v>
      </c>
      <c r="X161" t="s">
        <v>530</v>
      </c>
      <c r="Y161">
        <v>1000000</v>
      </c>
    </row>
    <row r="162" spans="2:25" ht="15">
      <c r="B162" s="339">
        <v>0.157</v>
      </c>
      <c r="C162" s="340">
        <v>22</v>
      </c>
      <c r="F162" s="330">
        <v>0.09380000000000001</v>
      </c>
      <c r="G162" s="331" t="s">
        <v>225</v>
      </c>
      <c r="I162" s="330">
        <v>0.5469</v>
      </c>
      <c r="J162" s="331" t="s">
        <v>193</v>
      </c>
      <c r="O162" s="330">
        <v>0.4528</v>
      </c>
      <c r="P162" s="332">
        <v>11.5</v>
      </c>
      <c r="Q162" s="330">
        <v>0.0709</v>
      </c>
      <c r="R162" s="332">
        <v>1.8</v>
      </c>
      <c r="V162" t="str">
        <f t="shared" si="2"/>
        <v>Cubic Meters  &lt;&lt;&lt;&gt;&gt;&gt; Cubic Feet </v>
      </c>
      <c r="W162" t="s">
        <v>463</v>
      </c>
      <c r="X162" t="s">
        <v>402</v>
      </c>
      <c r="Y162">
        <v>35.31466</v>
      </c>
    </row>
    <row r="163" spans="2:25" ht="15">
      <c r="B163" s="339">
        <v>0.1575</v>
      </c>
      <c r="D163" s="1">
        <v>4</v>
      </c>
      <c r="F163" s="330">
        <v>0.096</v>
      </c>
      <c r="G163" s="331">
        <v>41</v>
      </c>
      <c r="I163" s="330">
        <v>0.5312</v>
      </c>
      <c r="J163" s="331" t="s">
        <v>191</v>
      </c>
      <c r="O163" s="330">
        <v>0.4724</v>
      </c>
      <c r="P163" s="332">
        <v>12</v>
      </c>
      <c r="Q163" s="330">
        <v>0.0689</v>
      </c>
      <c r="R163" s="332">
        <v>1.75</v>
      </c>
      <c r="V163" t="str">
        <f t="shared" si="2"/>
        <v>Cubic Meters  &lt;&lt;&lt;&gt;&gt;&gt; Cubic Inches </v>
      </c>
      <c r="W163" t="s">
        <v>463</v>
      </c>
      <c r="X163" t="s">
        <v>462</v>
      </c>
      <c r="Y163">
        <v>61023.76</v>
      </c>
    </row>
    <row r="164" spans="2:25" ht="15">
      <c r="B164" s="339">
        <v>0.159</v>
      </c>
      <c r="C164" s="340">
        <v>21</v>
      </c>
      <c r="F164" s="330">
        <v>0.098</v>
      </c>
      <c r="G164" s="331">
        <v>40</v>
      </c>
      <c r="I164" s="330">
        <v>0.5156</v>
      </c>
      <c r="J164" s="331" t="s">
        <v>189</v>
      </c>
      <c r="O164" s="330">
        <v>0.4921</v>
      </c>
      <c r="P164" s="332">
        <v>12.5</v>
      </c>
      <c r="Q164" s="330">
        <v>0.0669</v>
      </c>
      <c r="R164" s="332">
        <v>1.7</v>
      </c>
      <c r="V164" t="str">
        <f t="shared" si="2"/>
        <v>Cubic Meters  &lt;&lt;&lt;&gt;&gt;&gt; Cubic Yards </v>
      </c>
      <c r="W164" t="s">
        <v>463</v>
      </c>
      <c r="X164" t="s">
        <v>531</v>
      </c>
      <c r="Y164">
        <v>1.307951</v>
      </c>
    </row>
    <row r="165" spans="2:25" ht="15">
      <c r="B165" s="339">
        <v>0.161</v>
      </c>
      <c r="C165" s="340">
        <v>20</v>
      </c>
      <c r="F165" s="330">
        <v>0.0995</v>
      </c>
      <c r="G165" s="331">
        <v>39</v>
      </c>
      <c r="I165" s="330">
        <v>0.5</v>
      </c>
      <c r="J165" s="331" t="s">
        <v>185</v>
      </c>
      <c r="O165" s="330">
        <v>0.5118</v>
      </c>
      <c r="P165" s="332">
        <v>13</v>
      </c>
      <c r="Q165" s="330">
        <v>0.065</v>
      </c>
      <c r="R165" s="332">
        <v>1.65</v>
      </c>
      <c r="V165" t="str">
        <f t="shared" si="2"/>
        <v>Cubic Meters  &lt;&lt;&lt;&gt;&gt;&gt; Gallon (U.K. liquid)</v>
      </c>
      <c r="W165" t="s">
        <v>463</v>
      </c>
      <c r="X165" t="s">
        <v>550</v>
      </c>
      <c r="Y165">
        <v>219.9692</v>
      </c>
    </row>
    <row r="166" spans="2:25" ht="15">
      <c r="B166" s="339">
        <v>0.1614</v>
      </c>
      <c r="D166" s="1">
        <v>4.1</v>
      </c>
      <c r="F166" s="330">
        <v>0.1015</v>
      </c>
      <c r="G166" s="331">
        <v>38</v>
      </c>
      <c r="I166" s="330">
        <v>0.4844</v>
      </c>
      <c r="J166" s="331" t="s">
        <v>182</v>
      </c>
      <c r="O166" s="330">
        <v>0.5315</v>
      </c>
      <c r="P166" s="332">
        <v>13.5</v>
      </c>
      <c r="Q166" s="330">
        <v>0.063</v>
      </c>
      <c r="R166" s="332">
        <v>1.6</v>
      </c>
      <c r="V166" t="str">
        <f t="shared" si="2"/>
        <v>Cubic Meters  &lt;&lt;&lt;&gt;&gt;&gt; Gallons (US liq.) </v>
      </c>
      <c r="W166" t="s">
        <v>463</v>
      </c>
      <c r="X166" t="s">
        <v>532</v>
      </c>
      <c r="Y166">
        <v>264.172</v>
      </c>
    </row>
    <row r="167" spans="2:25" ht="15">
      <c r="B167" s="339">
        <v>0.1654</v>
      </c>
      <c r="D167" s="1">
        <v>4.2</v>
      </c>
      <c r="F167" s="330">
        <v>0.10400000000000001</v>
      </c>
      <c r="G167" s="331">
        <v>37</v>
      </c>
      <c r="I167" s="330">
        <v>0.4688</v>
      </c>
      <c r="J167" s="331" t="s">
        <v>178</v>
      </c>
      <c r="O167" s="330">
        <v>0.5512</v>
      </c>
      <c r="P167" s="332">
        <v>14</v>
      </c>
      <c r="Q167" s="330">
        <v>0.061000000000000006</v>
      </c>
      <c r="R167" s="332">
        <v>1.55</v>
      </c>
      <c r="V167" t="str">
        <f t="shared" si="2"/>
        <v>Cubic Meters  &lt;&lt;&lt;&gt;&gt;&gt; Liters </v>
      </c>
      <c r="W167" t="s">
        <v>463</v>
      </c>
      <c r="X167" t="s">
        <v>464</v>
      </c>
      <c r="Y167">
        <v>1000</v>
      </c>
    </row>
    <row r="168" spans="2:25" ht="15">
      <c r="B168" s="339">
        <v>0.166</v>
      </c>
      <c r="C168" s="340">
        <v>19</v>
      </c>
      <c r="F168" s="330">
        <v>0.1065</v>
      </c>
      <c r="G168" s="331">
        <v>36</v>
      </c>
      <c r="I168" s="330">
        <v>0.4531</v>
      </c>
      <c r="J168" s="331" t="s">
        <v>175</v>
      </c>
      <c r="O168" s="330">
        <v>0.5709</v>
      </c>
      <c r="P168" s="332">
        <v>14.5</v>
      </c>
      <c r="Q168" s="330">
        <v>0.0591</v>
      </c>
      <c r="R168" s="332">
        <v>1.5</v>
      </c>
      <c r="V168" t="str">
        <f t="shared" si="2"/>
        <v>Cubic Meters  &lt;&lt;&lt;&gt;&gt;&gt; Pints (US liq.) </v>
      </c>
      <c r="W168" t="s">
        <v>463</v>
      </c>
      <c r="X168" t="s">
        <v>533</v>
      </c>
      <c r="Y168">
        <v>2113.376</v>
      </c>
    </row>
    <row r="169" spans="2:25" ht="15">
      <c r="B169" s="339">
        <v>0.1673</v>
      </c>
      <c r="D169" s="1">
        <v>4.25</v>
      </c>
      <c r="F169" s="330">
        <v>0.1094</v>
      </c>
      <c r="G169" s="331" t="s">
        <v>246</v>
      </c>
      <c r="I169" s="330">
        <v>0.4375</v>
      </c>
      <c r="J169" s="331" t="s">
        <v>172</v>
      </c>
      <c r="O169" s="330">
        <v>0.5906</v>
      </c>
      <c r="P169" s="332">
        <v>15</v>
      </c>
      <c r="Q169" s="330">
        <v>0.057100000000000005</v>
      </c>
      <c r="R169" s="332">
        <v>1.45</v>
      </c>
      <c r="V169" t="str">
        <f t="shared" si="2"/>
        <v>Cubic Meters  &lt;&lt;&lt;&gt;&gt;&gt; Quarts (US liq.) </v>
      </c>
      <c r="W169" t="s">
        <v>463</v>
      </c>
      <c r="X169" t="s">
        <v>549</v>
      </c>
      <c r="Y169">
        <v>1056.688</v>
      </c>
    </row>
    <row r="170" spans="2:25" ht="15">
      <c r="B170" s="339">
        <v>0.1693</v>
      </c>
      <c r="D170" s="1">
        <v>4.3</v>
      </c>
      <c r="F170" s="330">
        <v>0.11</v>
      </c>
      <c r="G170" s="331">
        <v>35</v>
      </c>
      <c r="I170" s="330">
        <v>0.4219</v>
      </c>
      <c r="J170" s="331" t="s">
        <v>169</v>
      </c>
      <c r="O170" s="330">
        <v>0.6102</v>
      </c>
      <c r="P170" s="332">
        <v>15.5</v>
      </c>
      <c r="Q170" s="330">
        <v>0.0551</v>
      </c>
      <c r="R170" s="332">
        <v>1.4</v>
      </c>
      <c r="V170" t="str">
        <f t="shared" si="2"/>
        <v>Cubic Meters per Minute &lt;&lt;&lt;&gt;&gt;&gt; Gallons (U.K. liquid) per Minute</v>
      </c>
      <c r="W170" t="s">
        <v>551</v>
      </c>
      <c r="X170" t="s">
        <v>552</v>
      </c>
      <c r="Y170">
        <v>219.9692</v>
      </c>
    </row>
    <row r="171" spans="2:25" ht="15">
      <c r="B171" s="339">
        <v>0.1695</v>
      </c>
      <c r="C171" s="340">
        <v>18</v>
      </c>
      <c r="F171" s="330">
        <v>0.111</v>
      </c>
      <c r="G171" s="331">
        <v>34</v>
      </c>
      <c r="I171" s="330">
        <v>0.41300000000000003</v>
      </c>
      <c r="J171" s="331" t="s">
        <v>102</v>
      </c>
      <c r="O171" s="330">
        <v>0.6299</v>
      </c>
      <c r="P171" s="332">
        <v>16</v>
      </c>
      <c r="Q171" s="330">
        <v>0.0531</v>
      </c>
      <c r="R171" s="332">
        <v>1.35</v>
      </c>
      <c r="V171" t="str">
        <f t="shared" si="2"/>
        <v>Cubic Meters per Minute &lt;&lt;&lt;&gt;&gt;&gt; Gallons (U.S. liquid) per Minute</v>
      </c>
      <c r="W171" t="s">
        <v>551</v>
      </c>
      <c r="X171" t="s">
        <v>553</v>
      </c>
      <c r="Y171">
        <v>264.172</v>
      </c>
    </row>
    <row r="172" spans="1:25" ht="15">
      <c r="A172" s="183" t="s">
        <v>197</v>
      </c>
      <c r="B172" s="339">
        <v>0.1719</v>
      </c>
      <c r="F172" s="330">
        <v>0.113</v>
      </c>
      <c r="G172" s="331">
        <v>33</v>
      </c>
      <c r="I172" s="330">
        <v>0.4062</v>
      </c>
      <c r="J172" s="331" t="s">
        <v>165</v>
      </c>
      <c r="O172" s="330">
        <v>0.6496</v>
      </c>
      <c r="P172" s="332">
        <v>16.5</v>
      </c>
      <c r="Q172" s="330">
        <v>0.0512</v>
      </c>
      <c r="R172" s="332">
        <v>1.3</v>
      </c>
      <c r="V172" t="str">
        <f t="shared" si="2"/>
        <v>Cubic Meters per Second &lt;&lt;&lt;&gt;&gt;&gt; Cubic Feet per Minute</v>
      </c>
      <c r="W172" t="s">
        <v>536</v>
      </c>
      <c r="X172" t="s">
        <v>535</v>
      </c>
      <c r="Y172">
        <v>2118.88</v>
      </c>
    </row>
    <row r="173" spans="2:25" ht="15">
      <c r="B173" s="339">
        <v>0.17300000000000001</v>
      </c>
      <c r="C173" s="340">
        <v>17</v>
      </c>
      <c r="F173" s="330">
        <v>0.116</v>
      </c>
      <c r="G173" s="331">
        <v>32</v>
      </c>
      <c r="I173" s="330">
        <v>0.404</v>
      </c>
      <c r="J173" s="331" t="s">
        <v>101</v>
      </c>
      <c r="O173" s="330">
        <v>0.6693</v>
      </c>
      <c r="P173" s="332">
        <v>17</v>
      </c>
      <c r="Q173" s="330">
        <v>0.0492</v>
      </c>
      <c r="R173" s="332">
        <v>1.25</v>
      </c>
      <c r="V173" t="str">
        <f t="shared" si="2"/>
        <v>Cubic Meters per Second &lt;&lt;&lt;&gt;&gt;&gt; Gallons (U.K. liquid) per Minute</v>
      </c>
      <c r="W173" t="s">
        <v>536</v>
      </c>
      <c r="X173" t="s">
        <v>552</v>
      </c>
      <c r="Y173">
        <v>13198.15</v>
      </c>
    </row>
    <row r="174" spans="2:25" ht="15">
      <c r="B174" s="339">
        <v>0.1732</v>
      </c>
      <c r="D174" s="1">
        <v>4.4</v>
      </c>
      <c r="F174" s="330">
        <v>0.12</v>
      </c>
      <c r="G174" s="331">
        <v>31</v>
      </c>
      <c r="I174" s="330">
        <v>0.397</v>
      </c>
      <c r="J174" s="331" t="s">
        <v>120</v>
      </c>
      <c r="O174" s="330">
        <v>0.6890000000000001</v>
      </c>
      <c r="P174" s="332">
        <v>17.5</v>
      </c>
      <c r="Q174" s="330">
        <v>0.0472</v>
      </c>
      <c r="R174" s="332">
        <v>1.2</v>
      </c>
      <c r="V174" t="str">
        <f t="shared" si="2"/>
        <v>Cubic Meters per Second &lt;&lt;&lt;&gt;&gt;&gt; Gallons (U.S. liquid) per Minute</v>
      </c>
      <c r="W174" t="s">
        <v>536</v>
      </c>
      <c r="X174" t="s">
        <v>553</v>
      </c>
      <c r="Y174">
        <v>15850.32</v>
      </c>
    </row>
    <row r="175" spans="2:25" ht="15">
      <c r="B175" s="339">
        <v>0.177</v>
      </c>
      <c r="C175" s="340">
        <v>16</v>
      </c>
      <c r="F175" s="330">
        <v>0.125</v>
      </c>
      <c r="G175" s="331" t="s">
        <v>147</v>
      </c>
      <c r="I175" s="330">
        <v>0.3906</v>
      </c>
      <c r="J175" s="331" t="s">
        <v>158</v>
      </c>
      <c r="O175" s="330">
        <v>0.7087</v>
      </c>
      <c r="P175" s="332">
        <v>18</v>
      </c>
      <c r="Q175" s="330">
        <v>0.0453</v>
      </c>
      <c r="R175" s="332">
        <v>1.15</v>
      </c>
      <c r="V175" t="str">
        <f t="shared" si="2"/>
        <v>Cubic Yards  &lt;&lt;&lt;&gt;&gt;&gt; Cubic Centimeters </v>
      </c>
      <c r="W175" t="s">
        <v>531</v>
      </c>
      <c r="X175" t="s">
        <v>530</v>
      </c>
      <c r="Y175">
        <v>764600</v>
      </c>
    </row>
    <row r="176" spans="2:25" ht="15">
      <c r="B176" s="339">
        <v>0.1772</v>
      </c>
      <c r="D176" s="1">
        <v>4.5</v>
      </c>
      <c r="F176" s="330">
        <v>0.1285</v>
      </c>
      <c r="G176" s="331">
        <v>30</v>
      </c>
      <c r="I176" s="330">
        <v>0.386</v>
      </c>
      <c r="J176" s="331" t="s">
        <v>155</v>
      </c>
      <c r="O176" s="330">
        <v>0.7283</v>
      </c>
      <c r="P176" s="332">
        <v>18.5</v>
      </c>
      <c r="Q176" s="330">
        <v>0.043300000000000005</v>
      </c>
      <c r="R176" s="332">
        <v>1.1</v>
      </c>
      <c r="V176" t="str">
        <f t="shared" si="2"/>
        <v>Cubic Yards  &lt;&lt;&lt;&gt;&gt;&gt; Cubic Feet </v>
      </c>
      <c r="W176" t="s">
        <v>531</v>
      </c>
      <c r="X176" t="s">
        <v>402</v>
      </c>
      <c r="Y176">
        <v>27</v>
      </c>
    </row>
    <row r="177" spans="2:25" ht="15">
      <c r="B177" s="339">
        <v>0.18</v>
      </c>
      <c r="C177" s="340">
        <v>15</v>
      </c>
      <c r="F177" s="330">
        <v>0.136</v>
      </c>
      <c r="G177" s="331">
        <v>29</v>
      </c>
      <c r="I177" s="330">
        <v>0.377</v>
      </c>
      <c r="J177" s="331" t="s">
        <v>148</v>
      </c>
      <c r="O177" s="330">
        <v>0.748</v>
      </c>
      <c r="P177" s="332">
        <v>19</v>
      </c>
      <c r="Q177" s="330">
        <v>0.0413</v>
      </c>
      <c r="R177" s="332">
        <v>1.05</v>
      </c>
      <c r="V177" t="str">
        <f t="shared" si="2"/>
        <v>Cubic Yards  &lt;&lt;&lt;&gt;&gt;&gt; Cubic Inches </v>
      </c>
      <c r="W177" t="s">
        <v>531</v>
      </c>
      <c r="X177" t="s">
        <v>462</v>
      </c>
      <c r="Y177">
        <v>46656</v>
      </c>
    </row>
    <row r="178" spans="2:25" ht="15">
      <c r="B178" s="339">
        <v>0.1811</v>
      </c>
      <c r="D178" s="1">
        <v>4.6</v>
      </c>
      <c r="F178" s="330">
        <v>0.1405</v>
      </c>
      <c r="G178" s="331">
        <v>28</v>
      </c>
      <c r="I178" s="330">
        <v>0.375</v>
      </c>
      <c r="J178" s="331" t="s">
        <v>145</v>
      </c>
      <c r="O178" s="330">
        <v>0.7677</v>
      </c>
      <c r="P178" s="332">
        <v>19.5</v>
      </c>
      <c r="Q178" s="330">
        <v>0.0394</v>
      </c>
      <c r="R178" s="332">
        <v>1</v>
      </c>
      <c r="V178" t="str">
        <f t="shared" si="2"/>
        <v>Cubic Yards  &lt;&lt;&lt;&gt;&gt;&gt; Cubic Meters </v>
      </c>
      <c r="W178" t="s">
        <v>531</v>
      </c>
      <c r="X178" t="s">
        <v>463</v>
      </c>
      <c r="Y178">
        <v>0.7646</v>
      </c>
    </row>
    <row r="179" spans="2:25" ht="15">
      <c r="B179" s="339">
        <v>0.182</v>
      </c>
      <c r="C179" s="340">
        <v>14</v>
      </c>
      <c r="F179" s="330">
        <v>0.1406</v>
      </c>
      <c r="G179" s="331" t="s">
        <v>162</v>
      </c>
      <c r="I179" s="330">
        <v>0.368</v>
      </c>
      <c r="J179" s="331" t="s">
        <v>257</v>
      </c>
      <c r="O179" s="330">
        <v>0.7874</v>
      </c>
      <c r="P179" s="332">
        <v>20</v>
      </c>
      <c r="Q179" s="330">
        <v>0.0374</v>
      </c>
      <c r="R179" s="332">
        <v>0.95</v>
      </c>
      <c r="V179" t="str">
        <f t="shared" si="2"/>
        <v>Cubic Yards  &lt;&lt;&lt;&gt;&gt;&gt; Gallons (US liq.) </v>
      </c>
      <c r="W179" t="s">
        <v>531</v>
      </c>
      <c r="X179" t="s">
        <v>532</v>
      </c>
      <c r="Y179">
        <v>202</v>
      </c>
    </row>
    <row r="180" spans="2:25" ht="15">
      <c r="B180" s="339">
        <v>0.185</v>
      </c>
      <c r="C180" s="340">
        <v>13</v>
      </c>
      <c r="D180" s="1">
        <v>4.7</v>
      </c>
      <c r="F180" s="330">
        <v>0.14400000000000002</v>
      </c>
      <c r="G180" s="331">
        <v>27</v>
      </c>
      <c r="I180" s="330">
        <v>0.3594</v>
      </c>
      <c r="J180" s="331" t="s">
        <v>252</v>
      </c>
      <c r="O180" s="330">
        <v>0.8071</v>
      </c>
      <c r="P180" s="332">
        <v>20.5</v>
      </c>
      <c r="Q180" s="330">
        <v>0.0354</v>
      </c>
      <c r="R180" s="332">
        <v>0.9</v>
      </c>
      <c r="V180" t="str">
        <f t="shared" si="2"/>
        <v>Cubic Yards  &lt;&lt;&lt;&gt;&gt;&gt; Liters </v>
      </c>
      <c r="W180" t="s">
        <v>531</v>
      </c>
      <c r="X180" t="s">
        <v>464</v>
      </c>
      <c r="Y180">
        <v>764.6</v>
      </c>
    </row>
    <row r="181" spans="2:25" ht="15">
      <c r="B181" s="339">
        <v>0.187</v>
      </c>
      <c r="D181" s="1">
        <v>4.75</v>
      </c>
      <c r="F181" s="330">
        <v>0.147</v>
      </c>
      <c r="G181" s="331">
        <v>26</v>
      </c>
      <c r="I181" s="330">
        <v>0.358</v>
      </c>
      <c r="J181" s="331" t="s">
        <v>248</v>
      </c>
      <c r="O181" s="330">
        <v>0.8268</v>
      </c>
      <c r="P181" s="332">
        <v>21</v>
      </c>
      <c r="Q181" s="330">
        <v>0.0335</v>
      </c>
      <c r="R181" s="332">
        <v>0.85</v>
      </c>
      <c r="V181" t="str">
        <f t="shared" si="2"/>
        <v>Cubic Yards  &lt;&lt;&lt;&gt;&gt;&gt; Pints (US liq.) </v>
      </c>
      <c r="W181" t="s">
        <v>531</v>
      </c>
      <c r="X181" t="s">
        <v>533</v>
      </c>
      <c r="Y181">
        <v>1615.9</v>
      </c>
    </row>
    <row r="182" spans="1:25" ht="15">
      <c r="A182" s="183" t="s">
        <v>214</v>
      </c>
      <c r="B182" s="339">
        <v>0.1875</v>
      </c>
      <c r="F182" s="330">
        <v>0.1495</v>
      </c>
      <c r="G182" s="331">
        <v>25</v>
      </c>
      <c r="I182" s="330">
        <v>0.34800000000000003</v>
      </c>
      <c r="J182" s="331" t="s">
        <v>242</v>
      </c>
      <c r="O182" s="330">
        <v>0.8465</v>
      </c>
      <c r="P182" s="332">
        <v>21.5</v>
      </c>
      <c r="Q182" s="330">
        <v>0.0315</v>
      </c>
      <c r="R182" s="332">
        <v>0.8</v>
      </c>
      <c r="V182" t="str">
        <f t="shared" si="2"/>
        <v>Cubic Yards  &lt;&lt;&lt;&gt;&gt;&gt; Quarts (US liq.) </v>
      </c>
      <c r="W182" t="s">
        <v>531</v>
      </c>
      <c r="X182" t="s">
        <v>549</v>
      </c>
      <c r="Y182">
        <v>807.9</v>
      </c>
    </row>
    <row r="183" spans="2:25" ht="15">
      <c r="B183" s="339">
        <v>0.189</v>
      </c>
      <c r="C183" s="340">
        <v>12</v>
      </c>
      <c r="D183" s="1">
        <v>4.8</v>
      </c>
      <c r="F183" s="330">
        <v>0.152</v>
      </c>
      <c r="G183" s="331">
        <v>24</v>
      </c>
      <c r="I183" s="330">
        <v>0.3438</v>
      </c>
      <c r="J183" s="331" t="s">
        <v>238</v>
      </c>
      <c r="O183" s="330">
        <v>0.8661</v>
      </c>
      <c r="P183" s="332">
        <v>22</v>
      </c>
      <c r="Q183" s="330">
        <v>0.0295</v>
      </c>
      <c r="R183" s="332">
        <v>0.75</v>
      </c>
      <c r="V183" t="str">
        <f t="shared" si="2"/>
        <v>Cubic Yards/Minute  &lt;&lt;&lt;&gt;&gt;&gt; Gallons/Second </v>
      </c>
      <c r="W183" t="s">
        <v>554</v>
      </c>
      <c r="X183" t="s">
        <v>540</v>
      </c>
      <c r="Y183">
        <v>3.367</v>
      </c>
    </row>
    <row r="184" spans="2:25" ht="15">
      <c r="B184" s="339">
        <v>0.191</v>
      </c>
      <c r="C184" s="340">
        <v>11</v>
      </c>
      <c r="F184" s="330">
        <v>0.154</v>
      </c>
      <c r="G184" s="331">
        <v>23</v>
      </c>
      <c r="I184" s="330">
        <v>0.339</v>
      </c>
      <c r="J184" s="331" t="s">
        <v>235</v>
      </c>
      <c r="O184" s="330">
        <v>0.8858</v>
      </c>
      <c r="P184" s="332">
        <v>22.5</v>
      </c>
      <c r="Q184" s="330">
        <v>0.0276</v>
      </c>
      <c r="R184" s="332">
        <v>0.7</v>
      </c>
      <c r="V184" t="str">
        <f t="shared" si="2"/>
        <v>Cubic Yards/Minute  &lt;&lt;&lt;&gt;&gt;&gt; Liters/Second </v>
      </c>
      <c r="W184" t="s">
        <v>554</v>
      </c>
      <c r="X184" t="s">
        <v>541</v>
      </c>
      <c r="Y184">
        <v>12.74</v>
      </c>
    </row>
    <row r="185" spans="2:25" ht="15">
      <c r="B185" s="339">
        <v>0.1929</v>
      </c>
      <c r="D185" s="1">
        <v>4.9</v>
      </c>
      <c r="F185" s="330">
        <v>0.1562</v>
      </c>
      <c r="G185" s="331" t="s">
        <v>179</v>
      </c>
      <c r="I185" s="330">
        <v>0.332</v>
      </c>
      <c r="J185" s="331" t="s">
        <v>229</v>
      </c>
      <c r="O185" s="330">
        <v>0.9055</v>
      </c>
      <c r="P185" s="332">
        <v>23</v>
      </c>
      <c r="Q185" s="330">
        <v>0.0256</v>
      </c>
      <c r="R185" s="332">
        <v>0.65</v>
      </c>
      <c r="V185" t="str">
        <f t="shared" si="2"/>
        <v>Cubic Yards/Minutes  &lt;&lt;&lt;&gt;&gt;&gt; Cubic Feet/Seconds </v>
      </c>
      <c r="W185" t="s">
        <v>555</v>
      </c>
      <c r="X185" t="s">
        <v>556</v>
      </c>
      <c r="Y185">
        <v>0.45</v>
      </c>
    </row>
    <row r="186" spans="2:25" ht="15">
      <c r="B186" s="339">
        <v>0.1935</v>
      </c>
      <c r="C186" s="340">
        <v>10</v>
      </c>
      <c r="F186" s="330">
        <v>0.157</v>
      </c>
      <c r="G186" s="331">
        <v>22</v>
      </c>
      <c r="I186" s="330">
        <v>0.3281</v>
      </c>
      <c r="J186" s="331" t="s">
        <v>226</v>
      </c>
      <c r="O186" s="330">
        <v>0.9252</v>
      </c>
      <c r="P186" s="332">
        <v>23.5</v>
      </c>
      <c r="Q186" s="330">
        <v>0.0236</v>
      </c>
      <c r="R186" s="332">
        <v>0.6</v>
      </c>
      <c r="V186" t="str">
        <f t="shared" si="2"/>
        <v>Deciliters  &lt;&lt;&lt;&gt;&gt;&gt; Liters </v>
      </c>
      <c r="W186" t="s">
        <v>557</v>
      </c>
      <c r="X186" t="s">
        <v>464</v>
      </c>
      <c r="Y186">
        <v>0.1</v>
      </c>
    </row>
    <row r="187" spans="2:25" ht="15">
      <c r="B187" s="339">
        <v>0.196</v>
      </c>
      <c r="C187" s="340">
        <v>9</v>
      </c>
      <c r="F187" s="330">
        <v>0.159</v>
      </c>
      <c r="G187" s="331">
        <v>21</v>
      </c>
      <c r="I187" s="330">
        <v>0.323</v>
      </c>
      <c r="J187" s="331" t="s">
        <v>221</v>
      </c>
      <c r="O187" s="330">
        <v>0.9449</v>
      </c>
      <c r="P187" s="332">
        <v>24</v>
      </c>
      <c r="Q187" s="330">
        <v>0.0217</v>
      </c>
      <c r="R187" s="332">
        <v>0.55</v>
      </c>
      <c r="V187" t="str">
        <f t="shared" si="2"/>
        <v>Decimeters &lt;&lt;&lt;&gt;&gt;&gt; Meters</v>
      </c>
      <c r="W187" t="s">
        <v>558</v>
      </c>
      <c r="X187" t="s">
        <v>64</v>
      </c>
      <c r="Y187">
        <v>0.1</v>
      </c>
    </row>
    <row r="188" spans="2:25" ht="15">
      <c r="B188" s="339">
        <v>0.1969</v>
      </c>
      <c r="D188" s="1">
        <v>5</v>
      </c>
      <c r="F188" s="330">
        <v>0.161</v>
      </c>
      <c r="G188" s="331">
        <v>20</v>
      </c>
      <c r="I188" s="330">
        <v>0.316</v>
      </c>
      <c r="J188" s="331" t="s">
        <v>216</v>
      </c>
      <c r="O188" s="330">
        <v>0.9646</v>
      </c>
      <c r="P188" s="332">
        <v>24.5</v>
      </c>
      <c r="Q188" s="330">
        <v>0.0197</v>
      </c>
      <c r="R188" s="332">
        <v>0.5</v>
      </c>
      <c r="V188" t="str">
        <f t="shared" si="2"/>
        <v>Degrees/Seconds  &lt;&lt;&lt;&gt;&gt;&gt; Revolutions/Minutes </v>
      </c>
      <c r="W188" t="s">
        <v>559</v>
      </c>
      <c r="X188" t="s">
        <v>560</v>
      </c>
      <c r="Y188">
        <v>0.1667</v>
      </c>
    </row>
    <row r="189" spans="2:25" ht="15">
      <c r="B189" s="339">
        <v>0.199</v>
      </c>
      <c r="C189" s="340">
        <v>8</v>
      </c>
      <c r="F189" s="330">
        <v>0.166</v>
      </c>
      <c r="G189" s="331">
        <v>19</v>
      </c>
      <c r="I189" s="330">
        <v>0.3125</v>
      </c>
      <c r="J189" s="331" t="s">
        <v>212</v>
      </c>
      <c r="O189" s="330">
        <v>0.9843</v>
      </c>
      <c r="P189" s="332">
        <v>25</v>
      </c>
      <c r="Q189" s="330">
        <v>0.0189</v>
      </c>
      <c r="R189" s="332">
        <v>0.48</v>
      </c>
      <c r="V189" t="str">
        <f t="shared" si="2"/>
        <v>Degrees/Seconds  &lt;&lt;&lt;&gt;&gt;&gt; Revolutions/Seconds </v>
      </c>
      <c r="W189" t="s">
        <v>559</v>
      </c>
      <c r="X189" t="s">
        <v>561</v>
      </c>
      <c r="Y189">
        <v>0.002778</v>
      </c>
    </row>
    <row r="190" spans="2:25" ht="15">
      <c r="B190" s="339">
        <v>0.2008</v>
      </c>
      <c r="D190" s="1">
        <v>5.1</v>
      </c>
      <c r="F190" s="330">
        <v>0.1695</v>
      </c>
      <c r="G190" s="331">
        <v>18</v>
      </c>
      <c r="I190" s="330">
        <v>0.302</v>
      </c>
      <c r="J190" s="331" t="s">
        <v>206</v>
      </c>
      <c r="O190" s="330">
        <v>1.0039</v>
      </c>
      <c r="P190" s="332">
        <v>25.5</v>
      </c>
      <c r="Q190" s="330">
        <v>0.0181</v>
      </c>
      <c r="R190" s="332">
        <v>0.46</v>
      </c>
      <c r="V190" t="str">
        <f t="shared" si="2"/>
        <v>Dekagrams  &lt;&lt;&lt;&gt;&gt;&gt; Grams </v>
      </c>
      <c r="W190" t="s">
        <v>562</v>
      </c>
      <c r="X190" t="s">
        <v>479</v>
      </c>
      <c r="Y190">
        <v>10</v>
      </c>
    </row>
    <row r="191" spans="2:25" ht="15">
      <c r="B191" s="339">
        <v>0.201</v>
      </c>
      <c r="C191" s="340">
        <v>7</v>
      </c>
      <c r="F191" s="330">
        <v>0.1719</v>
      </c>
      <c r="G191" s="331" t="s">
        <v>197</v>
      </c>
      <c r="I191" s="330">
        <v>0.2969</v>
      </c>
      <c r="J191" s="331" t="s">
        <v>202</v>
      </c>
      <c r="O191" s="330">
        <v>1.0236</v>
      </c>
      <c r="P191" s="332">
        <v>26</v>
      </c>
      <c r="Q191" s="330">
        <v>0.0177</v>
      </c>
      <c r="R191" s="332">
        <v>0.45</v>
      </c>
      <c r="V191" t="str">
        <f t="shared" si="2"/>
        <v>Dekaliters  &lt;&lt;&lt;&gt;&gt;&gt; Liters </v>
      </c>
      <c r="W191" t="s">
        <v>563</v>
      </c>
      <c r="X191" t="s">
        <v>464</v>
      </c>
      <c r="Y191">
        <v>10</v>
      </c>
    </row>
    <row r="192" spans="1:25" ht="15">
      <c r="A192" s="183" t="s">
        <v>231</v>
      </c>
      <c r="B192" s="339">
        <v>0.2031</v>
      </c>
      <c r="F192" s="330">
        <v>0.17300000000000001</v>
      </c>
      <c r="G192" s="331">
        <v>17</v>
      </c>
      <c r="I192" s="330">
        <v>0.295</v>
      </c>
      <c r="J192" s="331" t="s">
        <v>198</v>
      </c>
      <c r="O192" s="330">
        <v>1.0433</v>
      </c>
      <c r="P192" s="332">
        <v>26.5</v>
      </c>
      <c r="Q192" s="330">
        <v>0.0173</v>
      </c>
      <c r="R192" s="332">
        <v>0.44</v>
      </c>
      <c r="V192" t="str">
        <f t="shared" si="2"/>
        <v>Dekameters &lt;&lt;&lt;&gt;&gt;&gt; Meters</v>
      </c>
      <c r="W192" t="s">
        <v>564</v>
      </c>
      <c r="X192" t="s">
        <v>64</v>
      </c>
      <c r="Y192">
        <v>10</v>
      </c>
    </row>
    <row r="193" spans="2:25" ht="15">
      <c r="B193" s="339">
        <v>0.20400000000000001</v>
      </c>
      <c r="C193" s="340">
        <v>6</v>
      </c>
      <c r="F193" s="330">
        <v>0.177</v>
      </c>
      <c r="G193" s="331">
        <v>16</v>
      </c>
      <c r="I193" s="330">
        <v>0.29</v>
      </c>
      <c r="J193" s="331" t="s">
        <v>194</v>
      </c>
      <c r="O193" s="330">
        <v>1.063</v>
      </c>
      <c r="P193" s="332">
        <v>27</v>
      </c>
      <c r="Q193" s="330">
        <v>0.0165</v>
      </c>
      <c r="R193" s="332">
        <v>0.42</v>
      </c>
      <c r="V193" t="str">
        <f t="shared" si="2"/>
        <v>Drams  &lt;&lt;&lt;&gt;&gt;&gt; Grains </v>
      </c>
      <c r="W193" t="s">
        <v>565</v>
      </c>
      <c r="X193" t="s">
        <v>566</v>
      </c>
      <c r="Y193">
        <v>27.3437</v>
      </c>
    </row>
    <row r="194" spans="2:25" ht="15">
      <c r="B194" s="339">
        <v>0.2047</v>
      </c>
      <c r="D194" s="1">
        <v>5.2</v>
      </c>
      <c r="F194" s="330">
        <v>0.18</v>
      </c>
      <c r="G194" s="331">
        <v>15</v>
      </c>
      <c r="I194" s="330">
        <v>0.2812</v>
      </c>
      <c r="J194" s="331" t="s">
        <v>188</v>
      </c>
      <c r="O194" s="330">
        <v>1.0827</v>
      </c>
      <c r="P194" s="332">
        <v>27.5</v>
      </c>
      <c r="Q194" s="330">
        <v>0.0157</v>
      </c>
      <c r="R194" s="332">
        <v>0.4</v>
      </c>
      <c r="V194" t="str">
        <f t="shared" si="2"/>
        <v>Drams  &lt;&lt;&lt;&gt;&gt;&gt; Grams </v>
      </c>
      <c r="W194" t="s">
        <v>565</v>
      </c>
      <c r="X194" t="s">
        <v>479</v>
      </c>
      <c r="Y194">
        <v>1.7718</v>
      </c>
    </row>
    <row r="195" spans="2:25" ht="15">
      <c r="B195" s="339">
        <v>0.20550000000000002</v>
      </c>
      <c r="C195" s="340">
        <v>5</v>
      </c>
      <c r="F195" s="330">
        <v>0.182</v>
      </c>
      <c r="G195" s="331">
        <v>14</v>
      </c>
      <c r="I195" s="330">
        <v>0.281</v>
      </c>
      <c r="J195" s="331" t="s">
        <v>186</v>
      </c>
      <c r="O195" s="330">
        <v>1.1024</v>
      </c>
      <c r="P195" s="332">
        <v>28</v>
      </c>
      <c r="Q195" s="330">
        <v>0.015</v>
      </c>
      <c r="R195" s="332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565</v>
      </c>
      <c r="X195" t="s">
        <v>567</v>
      </c>
      <c r="Y195">
        <v>0.0625</v>
      </c>
    </row>
    <row r="196" spans="2:25" ht="15">
      <c r="B196" s="339">
        <v>0.2067</v>
      </c>
      <c r="D196" s="1">
        <v>5.25</v>
      </c>
      <c r="F196" s="330">
        <v>0.185</v>
      </c>
      <c r="G196" s="331">
        <v>13</v>
      </c>
      <c r="I196" s="330">
        <v>0.277</v>
      </c>
      <c r="J196" s="331" t="s">
        <v>183</v>
      </c>
      <c r="O196" s="330">
        <v>1.122</v>
      </c>
      <c r="P196" s="332">
        <v>28.5</v>
      </c>
      <c r="Q196" s="330">
        <v>0.0142</v>
      </c>
      <c r="R196" s="332">
        <v>0.36</v>
      </c>
      <c r="V196" t="str">
        <f t="shared" si="3"/>
        <v>Drams(apoth. or troy)  &lt;&lt;&lt;&gt;&gt;&gt; Ounces (troy) </v>
      </c>
      <c r="W196" t="s">
        <v>568</v>
      </c>
      <c r="X196" t="s">
        <v>569</v>
      </c>
      <c r="Y196">
        <v>0.125</v>
      </c>
    </row>
    <row r="197" spans="2:25" ht="15">
      <c r="B197" s="339">
        <v>0.2087</v>
      </c>
      <c r="D197" s="1">
        <v>5.3</v>
      </c>
      <c r="F197" s="330">
        <v>0.1875</v>
      </c>
      <c r="G197" s="331" t="s">
        <v>214</v>
      </c>
      <c r="I197" s="330">
        <v>0.272</v>
      </c>
      <c r="J197" s="331" t="s">
        <v>180</v>
      </c>
      <c r="O197" s="330">
        <v>1.1417</v>
      </c>
      <c r="P197" s="332">
        <v>29</v>
      </c>
      <c r="Q197" s="330">
        <v>0.0138</v>
      </c>
      <c r="R197" s="332">
        <v>0.35</v>
      </c>
      <c r="V197" t="str">
        <f t="shared" si="3"/>
        <v>Drams(apoth. or troy)  &lt;&lt;&lt;&gt;&gt;&gt; ounces(avoirdupois) </v>
      </c>
      <c r="W197" t="s">
        <v>568</v>
      </c>
      <c r="X197" t="s">
        <v>570</v>
      </c>
      <c r="Y197">
        <v>0.1371429</v>
      </c>
    </row>
    <row r="198" spans="2:25" ht="15">
      <c r="B198" s="339">
        <v>0.209</v>
      </c>
      <c r="C198" s="340">
        <v>4</v>
      </c>
      <c r="F198" s="330">
        <v>0.189</v>
      </c>
      <c r="G198" s="331">
        <v>12</v>
      </c>
      <c r="I198" s="330">
        <v>0.266</v>
      </c>
      <c r="J198" s="331" t="s">
        <v>174</v>
      </c>
      <c r="O198" s="330">
        <v>1.1614</v>
      </c>
      <c r="P198" s="332">
        <v>29.5</v>
      </c>
      <c r="Q198" s="330">
        <v>0.0134</v>
      </c>
      <c r="R198" s="332">
        <v>0.34</v>
      </c>
      <c r="V198" t="str">
        <f t="shared" si="3"/>
        <v>Drops  &lt;&lt;&lt;&gt;&gt;&gt; Teaspoons </v>
      </c>
      <c r="W198" t="s">
        <v>571</v>
      </c>
      <c r="X198" t="s">
        <v>572</v>
      </c>
      <c r="Y198">
        <v>0.01666</v>
      </c>
    </row>
    <row r="199" spans="2:25" ht="15">
      <c r="B199" s="339">
        <v>0.2126</v>
      </c>
      <c r="D199" s="1">
        <v>5.4</v>
      </c>
      <c r="F199" s="330">
        <v>0.191</v>
      </c>
      <c r="G199" s="331">
        <v>11</v>
      </c>
      <c r="I199" s="330">
        <v>0.2656</v>
      </c>
      <c r="J199" s="331" t="s">
        <v>170</v>
      </c>
      <c r="O199" s="330">
        <v>1.1811</v>
      </c>
      <c r="P199" s="332">
        <v>30</v>
      </c>
      <c r="Q199" s="330">
        <v>0.0126</v>
      </c>
      <c r="R199" s="332">
        <v>0.32</v>
      </c>
      <c r="V199" t="str">
        <f t="shared" si="3"/>
        <v>Dyne/Centimeter &lt;&lt;&lt;&gt;&gt;&gt; Erg/sq. millimeter</v>
      </c>
      <c r="W199" t="s">
        <v>573</v>
      </c>
      <c r="X199" t="s">
        <v>574</v>
      </c>
      <c r="Y199">
        <v>0.01</v>
      </c>
    </row>
    <row r="200" spans="2:25" ht="15">
      <c r="B200" s="339">
        <v>0.213</v>
      </c>
      <c r="C200" s="340">
        <v>3</v>
      </c>
      <c r="F200" s="330">
        <v>0.1935</v>
      </c>
      <c r="G200" s="331">
        <v>10</v>
      </c>
      <c r="I200" s="330">
        <v>0.261</v>
      </c>
      <c r="J200" s="331" t="s">
        <v>167</v>
      </c>
      <c r="O200" s="330">
        <v>1.2008</v>
      </c>
      <c r="P200" s="332">
        <v>30.5</v>
      </c>
      <c r="Q200" s="330">
        <v>0.0118</v>
      </c>
      <c r="R200" s="332">
        <v>0.3</v>
      </c>
      <c r="V200" t="str">
        <f t="shared" si="3"/>
        <v>Dyne/sq. Centimeter &lt;&lt;&lt;&gt;&gt;&gt; Atmospheres</v>
      </c>
      <c r="W200" t="s">
        <v>575</v>
      </c>
      <c r="X200" t="s">
        <v>576</v>
      </c>
      <c r="Y200">
        <v>9.87E-07</v>
      </c>
    </row>
    <row r="201" spans="2:25" ht="15">
      <c r="B201" s="339">
        <v>0.2165</v>
      </c>
      <c r="D201" s="1">
        <v>5.5</v>
      </c>
      <c r="F201" s="330">
        <v>0.196</v>
      </c>
      <c r="G201" s="331">
        <v>9</v>
      </c>
      <c r="I201" s="330">
        <v>0.257</v>
      </c>
      <c r="J201" s="331" t="s">
        <v>164</v>
      </c>
      <c r="O201" s="330">
        <v>1.2205</v>
      </c>
      <c r="P201" s="332">
        <v>31</v>
      </c>
      <c r="Q201" s="330">
        <v>0.0114</v>
      </c>
      <c r="R201" s="332">
        <v>0.29</v>
      </c>
      <c r="V201" t="str">
        <f t="shared" si="3"/>
        <v>Dyne/sq. Centimeter &lt;&lt;&lt;&gt;&gt;&gt; Inch of mercury at 0øC</v>
      </c>
      <c r="W201" t="s">
        <v>575</v>
      </c>
      <c r="X201" t="s">
        <v>577</v>
      </c>
      <c r="Y201">
        <v>2.95E-05</v>
      </c>
    </row>
    <row r="202" spans="1:25" ht="15">
      <c r="A202" s="183" t="s">
        <v>247</v>
      </c>
      <c r="B202" s="339">
        <v>0.2188</v>
      </c>
      <c r="F202" s="330">
        <v>0.199</v>
      </c>
      <c r="G202" s="331">
        <v>8</v>
      </c>
      <c r="I202" s="330">
        <v>0.25</v>
      </c>
      <c r="J202" s="331" t="s">
        <v>580</v>
      </c>
      <c r="O202" s="330">
        <v>1.2402</v>
      </c>
      <c r="P202" s="332">
        <v>31.5</v>
      </c>
      <c r="Q202" s="330">
        <v>0.011</v>
      </c>
      <c r="R202" s="332">
        <v>0.28</v>
      </c>
      <c r="V202" t="str">
        <f t="shared" si="3"/>
        <v>Dyne/sq. Centimeter &lt;&lt;&lt;&gt;&gt;&gt; Inch of water at 4øC</v>
      </c>
      <c r="W202" t="s">
        <v>575</v>
      </c>
      <c r="X202" t="s">
        <v>578</v>
      </c>
      <c r="Y202">
        <v>0.0004015</v>
      </c>
    </row>
    <row r="203" spans="2:25" ht="15">
      <c r="B203" s="339">
        <v>0.2205</v>
      </c>
      <c r="D203" s="1">
        <v>5.6</v>
      </c>
      <c r="F203" s="330">
        <v>0.201</v>
      </c>
      <c r="G203" s="331">
        <v>7</v>
      </c>
      <c r="I203" s="330">
        <v>0.246</v>
      </c>
      <c r="J203" s="331" t="s">
        <v>154</v>
      </c>
      <c r="O203" s="330">
        <v>1.2598</v>
      </c>
      <c r="P203" s="332">
        <v>32</v>
      </c>
      <c r="Q203" s="330">
        <v>0.0106</v>
      </c>
      <c r="R203" s="332">
        <v>0.27</v>
      </c>
      <c r="V203" t="str">
        <f t="shared" si="3"/>
        <v>Dyne/sq. cm  &lt;&lt;&lt;&gt;&gt;&gt; Atmospheres </v>
      </c>
      <c r="W203" t="s">
        <v>579</v>
      </c>
      <c r="X203" t="s">
        <v>416</v>
      </c>
      <c r="Y203">
        <v>9.87E-07</v>
      </c>
    </row>
    <row r="204" spans="2:25" ht="15">
      <c r="B204" s="339">
        <v>0.221</v>
      </c>
      <c r="C204" s="340">
        <v>2</v>
      </c>
      <c r="F204" s="330">
        <v>0.2031</v>
      </c>
      <c r="G204" s="331" t="s">
        <v>231</v>
      </c>
      <c r="I204" s="330">
        <v>0.242</v>
      </c>
      <c r="J204" s="331" t="s">
        <v>152</v>
      </c>
      <c r="O204" s="330">
        <v>1.2795</v>
      </c>
      <c r="P204" s="332">
        <v>32.5</v>
      </c>
      <c r="Q204" s="330">
        <v>0.0102</v>
      </c>
      <c r="R204" s="332">
        <v>0.26</v>
      </c>
      <c r="V204" t="str">
        <f t="shared" si="3"/>
        <v>Dyne/sq. cm  &lt;&lt;&lt;&gt;&gt;&gt; Inch of Mercury at 0øC </v>
      </c>
      <c r="W204" t="s">
        <v>579</v>
      </c>
      <c r="X204" t="s">
        <v>581</v>
      </c>
      <c r="Y204">
        <v>2.95E-05</v>
      </c>
    </row>
    <row r="205" spans="2:25" ht="15">
      <c r="B205" s="339">
        <v>0.2244</v>
      </c>
      <c r="D205" s="1">
        <v>5.7</v>
      </c>
      <c r="F205" s="330">
        <v>0.20400000000000001</v>
      </c>
      <c r="G205" s="331">
        <v>6</v>
      </c>
      <c r="I205" s="330">
        <v>0.23800000000000002</v>
      </c>
      <c r="J205" s="331" t="s">
        <v>150</v>
      </c>
      <c r="O205" s="330">
        <v>1.2992</v>
      </c>
      <c r="P205" s="332">
        <v>33</v>
      </c>
      <c r="Q205" s="330">
        <v>0.0098</v>
      </c>
      <c r="R205" s="332">
        <v>0.25</v>
      </c>
      <c r="V205" t="str">
        <f t="shared" si="3"/>
        <v>Dyne/sq. cm  &lt;&lt;&lt;&gt;&gt;&gt; Inch of water at 4øC </v>
      </c>
      <c r="W205" t="s">
        <v>579</v>
      </c>
      <c r="X205" t="s">
        <v>582</v>
      </c>
      <c r="Y205">
        <v>0.0004015</v>
      </c>
    </row>
    <row r="206" spans="2:25" ht="15">
      <c r="B206" s="339">
        <v>0.2264</v>
      </c>
      <c r="D206" s="1">
        <v>5.75</v>
      </c>
      <c r="F206" s="330">
        <v>0.20550000000000002</v>
      </c>
      <c r="G206" s="331">
        <v>5</v>
      </c>
      <c r="I206" s="330">
        <v>0.2344</v>
      </c>
      <c r="J206" s="331" t="s">
        <v>144</v>
      </c>
      <c r="O206" s="330">
        <v>1.3189</v>
      </c>
      <c r="P206" s="332">
        <v>33.5</v>
      </c>
      <c r="Q206" s="330">
        <v>0.0094</v>
      </c>
      <c r="R206" s="332">
        <v>0.24</v>
      </c>
      <c r="V206" t="str">
        <f t="shared" si="3"/>
        <v>Dynes &lt;&lt;&lt;&gt;&gt;&gt; Grams</v>
      </c>
      <c r="W206" t="s">
        <v>583</v>
      </c>
      <c r="X206" t="s">
        <v>78</v>
      </c>
      <c r="Y206">
        <v>0.00102</v>
      </c>
    </row>
    <row r="207" spans="2:25" ht="15">
      <c r="B207" s="339">
        <v>0.228</v>
      </c>
      <c r="C207" s="340">
        <v>1</v>
      </c>
      <c r="F207" s="330">
        <v>0.209</v>
      </c>
      <c r="G207" s="331">
        <v>4</v>
      </c>
      <c r="I207" s="330">
        <v>0.234</v>
      </c>
      <c r="J207" s="331" t="s">
        <v>261</v>
      </c>
      <c r="O207" s="330">
        <v>1.3386</v>
      </c>
      <c r="P207" s="332">
        <v>34</v>
      </c>
      <c r="Q207" s="330">
        <v>0.0091</v>
      </c>
      <c r="R207" s="332">
        <v>0.23</v>
      </c>
      <c r="V207" t="str">
        <f t="shared" si="3"/>
        <v>Dynes &lt;&lt;&lt;&gt;&gt;&gt; Joules/Centimeter</v>
      </c>
      <c r="W207" t="s">
        <v>583</v>
      </c>
      <c r="X207" t="s">
        <v>584</v>
      </c>
      <c r="Y207">
        <v>1E-07</v>
      </c>
    </row>
    <row r="208" spans="2:25" ht="15">
      <c r="B208" s="339">
        <v>0.2283</v>
      </c>
      <c r="D208" s="1">
        <v>5.8</v>
      </c>
      <c r="F208" s="330">
        <v>0.213</v>
      </c>
      <c r="G208" s="331">
        <v>3</v>
      </c>
      <c r="I208" s="330">
        <v>0.228</v>
      </c>
      <c r="J208" s="331">
        <v>1</v>
      </c>
      <c r="O208" s="330">
        <v>1.3583</v>
      </c>
      <c r="P208" s="332">
        <v>34.5</v>
      </c>
      <c r="Q208" s="330">
        <v>0.0087</v>
      </c>
      <c r="R208" s="336">
        <v>0.22</v>
      </c>
      <c r="V208" t="str">
        <f t="shared" si="3"/>
        <v>Dynes &lt;&lt;&lt;&gt;&gt;&gt; Joules/Meter (Newtons)</v>
      </c>
      <c r="W208" t="s">
        <v>583</v>
      </c>
      <c r="X208" t="s">
        <v>585</v>
      </c>
      <c r="Y208">
        <v>1E-05</v>
      </c>
    </row>
    <row r="209" spans="2:25" ht="15">
      <c r="B209" s="339">
        <v>0.2323</v>
      </c>
      <c r="D209" s="1">
        <v>5.9</v>
      </c>
      <c r="F209" s="330">
        <v>0.2188</v>
      </c>
      <c r="G209" s="331" t="s">
        <v>247</v>
      </c>
      <c r="I209" s="330">
        <v>0.221</v>
      </c>
      <c r="J209" s="331">
        <v>2</v>
      </c>
      <c r="O209" s="330">
        <v>1.378</v>
      </c>
      <c r="P209" s="332">
        <v>35</v>
      </c>
      <c r="Q209" s="330">
        <v>0.0083</v>
      </c>
      <c r="R209" s="332">
        <v>0.21</v>
      </c>
      <c r="V209" t="str">
        <f t="shared" si="3"/>
        <v>Dynes &lt;&lt;&lt;&gt;&gt;&gt; Kilograms</v>
      </c>
      <c r="W209" t="s">
        <v>583</v>
      </c>
      <c r="X209" t="s">
        <v>82</v>
      </c>
      <c r="Y209">
        <v>1.02E-06</v>
      </c>
    </row>
    <row r="210" spans="2:25" ht="15">
      <c r="B210" s="339">
        <v>0.234</v>
      </c>
      <c r="C210" s="340" t="s">
        <v>261</v>
      </c>
      <c r="F210" s="330">
        <v>0.221</v>
      </c>
      <c r="G210" s="331">
        <v>2</v>
      </c>
      <c r="I210" s="330">
        <v>0.2188</v>
      </c>
      <c r="J210" s="331" t="s">
        <v>247</v>
      </c>
      <c r="O210" s="330">
        <v>1.3976</v>
      </c>
      <c r="P210" s="332">
        <v>35.5</v>
      </c>
      <c r="Q210" s="330">
        <v>0.0079</v>
      </c>
      <c r="R210" s="332">
        <v>0.2</v>
      </c>
      <c r="V210" t="str">
        <f t="shared" si="3"/>
        <v>Dynes &lt;&lt;&lt;&gt;&gt;&gt; Newtons (N)</v>
      </c>
      <c r="W210" t="s">
        <v>583</v>
      </c>
      <c r="X210" t="s">
        <v>586</v>
      </c>
      <c r="Y210">
        <v>1E-05</v>
      </c>
    </row>
    <row r="211" spans="1:25" ht="15">
      <c r="A211" s="183" t="s">
        <v>144</v>
      </c>
      <c r="B211" s="339">
        <v>0.2344</v>
      </c>
      <c r="F211" s="330">
        <v>0.228</v>
      </c>
      <c r="G211" s="331">
        <v>1</v>
      </c>
      <c r="I211" s="330">
        <v>0.213</v>
      </c>
      <c r="J211" s="331">
        <v>3</v>
      </c>
      <c r="O211" s="330">
        <v>1.4173</v>
      </c>
      <c r="P211" s="332">
        <v>36</v>
      </c>
      <c r="Q211" s="330">
        <v>0.0075</v>
      </c>
      <c r="R211" s="332">
        <v>0.19</v>
      </c>
      <c r="V211" t="str">
        <f t="shared" si="3"/>
        <v>Dynes &lt;&lt;&lt;&gt;&gt;&gt; Poundals</v>
      </c>
      <c r="W211" t="s">
        <v>583</v>
      </c>
      <c r="X211" t="s">
        <v>587</v>
      </c>
      <c r="Y211">
        <v>7.23E-05</v>
      </c>
    </row>
    <row r="212" spans="2:25" ht="15">
      <c r="B212" s="339">
        <v>0.2362</v>
      </c>
      <c r="D212" s="1">
        <v>6</v>
      </c>
      <c r="F212" s="330">
        <v>0.234</v>
      </c>
      <c r="G212" s="331" t="s">
        <v>261</v>
      </c>
      <c r="I212" s="330">
        <v>0.209</v>
      </c>
      <c r="J212" s="331">
        <v>4</v>
      </c>
      <c r="O212" s="330">
        <v>1.437</v>
      </c>
      <c r="P212" s="332">
        <v>36.5</v>
      </c>
      <c r="Q212" s="330">
        <v>0.0071</v>
      </c>
      <c r="R212" s="332">
        <v>0.18</v>
      </c>
      <c r="V212" t="str">
        <f t="shared" si="3"/>
        <v>Dynes &lt;&lt;&lt;&gt;&gt;&gt; Pounds</v>
      </c>
      <c r="W212" t="s">
        <v>583</v>
      </c>
      <c r="X212" t="s">
        <v>80</v>
      </c>
      <c r="Y212">
        <v>2.25E-06</v>
      </c>
    </row>
    <row r="213" spans="2:25" ht="15">
      <c r="B213" s="339">
        <v>0.23800000000000002</v>
      </c>
      <c r="C213" s="340" t="s">
        <v>150</v>
      </c>
      <c r="F213" s="330">
        <v>0.2344</v>
      </c>
      <c r="G213" s="331" t="s">
        <v>144</v>
      </c>
      <c r="I213" s="330">
        <v>0.20550000000000002</v>
      </c>
      <c r="J213" s="331">
        <v>5</v>
      </c>
      <c r="O213" s="330">
        <v>1.4567</v>
      </c>
      <c r="P213" s="332">
        <v>37</v>
      </c>
      <c r="Q213" s="330">
        <v>0.0067</v>
      </c>
      <c r="R213" s="332">
        <v>0.17</v>
      </c>
      <c r="V213" t="str">
        <f t="shared" si="3"/>
        <v>Dynes  &lt;&lt;&lt;&gt;&gt;&gt; Grams </v>
      </c>
      <c r="W213" t="s">
        <v>588</v>
      </c>
      <c r="X213" t="s">
        <v>479</v>
      </c>
      <c r="Y213">
        <v>0.00102</v>
      </c>
    </row>
    <row r="214" spans="2:25" ht="15">
      <c r="B214" s="339">
        <v>0.2402</v>
      </c>
      <c r="D214" s="1">
        <v>6.1</v>
      </c>
      <c r="F214" s="330">
        <v>0.23800000000000002</v>
      </c>
      <c r="G214" s="331" t="s">
        <v>150</v>
      </c>
      <c r="I214" s="330">
        <v>0.20400000000000001</v>
      </c>
      <c r="J214" s="331">
        <v>6</v>
      </c>
      <c r="O214" s="330">
        <v>1.4764</v>
      </c>
      <c r="P214" s="332">
        <v>37.5</v>
      </c>
      <c r="Q214" s="330">
        <v>0.0063</v>
      </c>
      <c r="R214" s="332">
        <v>0.16</v>
      </c>
      <c r="V214" t="str">
        <f t="shared" si="3"/>
        <v>Dynes  &lt;&lt;&lt;&gt;&gt;&gt; Kilograms </v>
      </c>
      <c r="W214" t="s">
        <v>588</v>
      </c>
      <c r="X214" t="s">
        <v>589</v>
      </c>
      <c r="Y214">
        <v>1.02E-06</v>
      </c>
    </row>
    <row r="215" spans="2:25" ht="15">
      <c r="B215" s="339">
        <v>0.242</v>
      </c>
      <c r="C215" s="340" t="s">
        <v>152</v>
      </c>
      <c r="F215" s="330">
        <v>0.242</v>
      </c>
      <c r="G215" s="331" t="s">
        <v>152</v>
      </c>
      <c r="I215" s="330">
        <v>0.2031</v>
      </c>
      <c r="J215" s="331" t="s">
        <v>231</v>
      </c>
      <c r="O215" s="330">
        <v>1.4961</v>
      </c>
      <c r="P215" s="332">
        <v>38</v>
      </c>
      <c r="Q215" s="330">
        <v>0.0059</v>
      </c>
      <c r="R215" s="332">
        <v>0.15</v>
      </c>
      <c r="V215" t="str">
        <f t="shared" si="3"/>
        <v>Dynes  &lt;&lt;&lt;&gt;&gt;&gt; Poundals </v>
      </c>
      <c r="W215" t="s">
        <v>588</v>
      </c>
      <c r="X215" t="s">
        <v>590</v>
      </c>
      <c r="Y215">
        <v>7.23E-05</v>
      </c>
    </row>
    <row r="216" spans="2:25" ht="15">
      <c r="B216" s="339">
        <v>0.2441</v>
      </c>
      <c r="D216" s="1">
        <v>6.2</v>
      </c>
      <c r="F216" s="330">
        <v>0.246</v>
      </c>
      <c r="G216" s="331" t="s">
        <v>154</v>
      </c>
      <c r="I216" s="330">
        <v>0.201</v>
      </c>
      <c r="J216" s="331">
        <v>7</v>
      </c>
      <c r="V216" t="str">
        <f t="shared" si="3"/>
        <v>Dynes  &lt;&lt;&lt;&gt;&gt;&gt; Pounds </v>
      </c>
      <c r="W216" t="s">
        <v>588</v>
      </c>
      <c r="X216" t="s">
        <v>591</v>
      </c>
      <c r="Y216">
        <v>2.25E-06</v>
      </c>
    </row>
    <row r="217" spans="2:25" ht="15">
      <c r="B217" s="339">
        <v>0.246</v>
      </c>
      <c r="C217" s="340" t="s">
        <v>154</v>
      </c>
      <c r="F217" s="330">
        <v>0.25</v>
      </c>
      <c r="G217" s="331" t="s">
        <v>580</v>
      </c>
      <c r="I217" s="330">
        <v>0.199</v>
      </c>
      <c r="J217" s="331">
        <v>8</v>
      </c>
      <c r="V217" t="str">
        <f t="shared" si="3"/>
        <v>Dynes/sq. Centimeter &lt;&lt;&lt;&gt;&gt;&gt; Bars</v>
      </c>
      <c r="W217" t="s">
        <v>592</v>
      </c>
      <c r="X217" t="s">
        <v>435</v>
      </c>
      <c r="Y217">
        <v>1E-06</v>
      </c>
    </row>
    <row r="218" spans="2:25" ht="15">
      <c r="B218" s="339">
        <v>0.2461</v>
      </c>
      <c r="D218" s="1">
        <v>6.25</v>
      </c>
      <c r="F218" s="330">
        <v>0.257</v>
      </c>
      <c r="G218" s="331" t="s">
        <v>164</v>
      </c>
      <c r="I218" s="330">
        <v>0.196</v>
      </c>
      <c r="J218" s="331">
        <v>9</v>
      </c>
      <c r="V218" t="str">
        <f t="shared" si="3"/>
        <v>Ell &lt;&lt;&lt;&gt;&gt;&gt; Centimeters</v>
      </c>
      <c r="W218" t="s">
        <v>593</v>
      </c>
      <c r="X218" t="s">
        <v>60</v>
      </c>
      <c r="Y218">
        <v>114.3</v>
      </c>
    </row>
    <row r="219" spans="2:25" ht="15">
      <c r="B219" s="339">
        <v>0.248</v>
      </c>
      <c r="D219" s="1">
        <v>6.3</v>
      </c>
      <c r="F219" s="330">
        <v>0.261</v>
      </c>
      <c r="G219" s="331" t="s">
        <v>167</v>
      </c>
      <c r="I219" s="330">
        <v>0.1935</v>
      </c>
      <c r="J219" s="331">
        <v>10</v>
      </c>
      <c r="V219" t="str">
        <f t="shared" si="3"/>
        <v>Ell &lt;&lt;&lt;&gt;&gt;&gt; Inches</v>
      </c>
      <c r="W219" t="s">
        <v>593</v>
      </c>
      <c r="X219" t="s">
        <v>56</v>
      </c>
      <c r="Y219">
        <v>45</v>
      </c>
    </row>
    <row r="220" spans="1:25" ht="15">
      <c r="A220" s="183" t="s">
        <v>159</v>
      </c>
      <c r="B220" s="339">
        <v>0.25</v>
      </c>
      <c r="C220" s="340" t="s">
        <v>160</v>
      </c>
      <c r="F220" s="330">
        <v>0.2656</v>
      </c>
      <c r="G220" s="331" t="s">
        <v>170</v>
      </c>
      <c r="I220" s="330">
        <v>0.191</v>
      </c>
      <c r="J220" s="331">
        <v>11</v>
      </c>
      <c r="V220" t="str">
        <f t="shared" si="3"/>
        <v>Em (pica)  &lt;&lt;&lt;&gt;&gt;&gt; Centimeters</v>
      </c>
      <c r="W220" t="s">
        <v>594</v>
      </c>
      <c r="X220" t="s">
        <v>60</v>
      </c>
      <c r="Y220">
        <v>0.4233</v>
      </c>
    </row>
    <row r="221" spans="2:25" ht="15">
      <c r="B221" s="339">
        <v>0.252</v>
      </c>
      <c r="D221" s="1">
        <v>6.4</v>
      </c>
      <c r="F221" s="330">
        <v>0.266</v>
      </c>
      <c r="G221" s="331" t="s">
        <v>174</v>
      </c>
      <c r="I221" s="330">
        <v>0.189</v>
      </c>
      <c r="J221" s="331">
        <v>12</v>
      </c>
      <c r="V221" t="str">
        <f t="shared" si="3"/>
        <v>Em (pica)  &lt;&lt;&lt;&gt;&gt;&gt; Inch</v>
      </c>
      <c r="W221" t="s">
        <v>594</v>
      </c>
      <c r="X221" t="s">
        <v>595</v>
      </c>
      <c r="Y221">
        <v>0.167</v>
      </c>
    </row>
    <row r="222" spans="2:25" ht="15">
      <c r="B222" s="339">
        <v>0.2559</v>
      </c>
      <c r="D222" s="1">
        <v>6.5</v>
      </c>
      <c r="F222" s="330">
        <v>0.272</v>
      </c>
      <c r="G222" s="331" t="s">
        <v>180</v>
      </c>
      <c r="I222" s="330">
        <v>0.1875</v>
      </c>
      <c r="J222" s="331" t="s">
        <v>214</v>
      </c>
      <c r="V222" t="str">
        <f t="shared" si="3"/>
        <v>Ergs  &lt;&lt;&lt;&gt;&gt;&gt; BTU </v>
      </c>
      <c r="W222" t="s">
        <v>443</v>
      </c>
      <c r="X222" t="s">
        <v>442</v>
      </c>
      <c r="Y222">
        <v>9.48E-11</v>
      </c>
    </row>
    <row r="223" spans="2:25" ht="15">
      <c r="B223" s="339">
        <v>0.257</v>
      </c>
      <c r="C223" s="340" t="s">
        <v>164</v>
      </c>
      <c r="F223" s="330">
        <v>0.277</v>
      </c>
      <c r="G223" s="331" t="s">
        <v>183</v>
      </c>
      <c r="I223" s="330">
        <v>0.185</v>
      </c>
      <c r="J223" s="331">
        <v>13</v>
      </c>
      <c r="V223" t="str">
        <f t="shared" si="3"/>
        <v>Ergs  &lt;&lt;&lt;&gt;&gt;&gt; HorsePower-Hours </v>
      </c>
      <c r="W223" t="s">
        <v>443</v>
      </c>
      <c r="X223" t="s">
        <v>446</v>
      </c>
      <c r="Y223">
        <v>3.73E-14</v>
      </c>
    </row>
    <row r="224" spans="2:25" ht="15">
      <c r="B224" s="339">
        <v>0.2598</v>
      </c>
      <c r="D224" s="1">
        <v>6.6</v>
      </c>
      <c r="F224" s="330">
        <v>0.281</v>
      </c>
      <c r="G224" s="331" t="s">
        <v>186</v>
      </c>
      <c r="I224" s="330">
        <v>0.182</v>
      </c>
      <c r="J224" s="331">
        <v>14</v>
      </c>
      <c r="V224" t="str">
        <f t="shared" si="3"/>
        <v>Ergs  &lt;&lt;&lt;&gt;&gt;&gt; Joules </v>
      </c>
      <c r="W224" t="s">
        <v>443</v>
      </c>
      <c r="X224" t="s">
        <v>447</v>
      </c>
      <c r="Y224">
        <v>1E-07</v>
      </c>
    </row>
    <row r="225" spans="2:25" ht="15">
      <c r="B225" s="339">
        <v>0.261</v>
      </c>
      <c r="C225" s="340" t="s">
        <v>167</v>
      </c>
      <c r="F225" s="330">
        <v>0.2812</v>
      </c>
      <c r="G225" s="331" t="s">
        <v>188</v>
      </c>
      <c r="I225" s="330">
        <v>0.18</v>
      </c>
      <c r="J225" s="331">
        <v>15</v>
      </c>
      <c r="V225" t="str">
        <f t="shared" si="3"/>
        <v>Ergs  &lt;&lt;&lt;&gt;&gt;&gt; Kilowatt-Hours </v>
      </c>
      <c r="W225" t="s">
        <v>443</v>
      </c>
      <c r="X225" t="s">
        <v>450</v>
      </c>
      <c r="Y225">
        <v>2.78E-14</v>
      </c>
    </row>
    <row r="226" spans="2:25" ht="15">
      <c r="B226" s="339">
        <v>0.2638</v>
      </c>
      <c r="D226" s="1">
        <v>6.7</v>
      </c>
      <c r="F226" s="330">
        <v>0.29</v>
      </c>
      <c r="G226" s="331" t="s">
        <v>194</v>
      </c>
      <c r="I226" s="330">
        <v>0.177</v>
      </c>
      <c r="J226" s="331">
        <v>16</v>
      </c>
      <c r="V226" t="str">
        <f t="shared" si="3"/>
        <v>Ergs  &lt;&lt;&lt;&gt;&gt;&gt; Watt-Hours </v>
      </c>
      <c r="W226" t="s">
        <v>443</v>
      </c>
      <c r="X226" t="s">
        <v>596</v>
      </c>
      <c r="Y226">
        <v>2.78E-11</v>
      </c>
    </row>
    <row r="227" spans="1:25" ht="15">
      <c r="A227" s="183" t="s">
        <v>170</v>
      </c>
      <c r="B227" s="339">
        <v>0.2656</v>
      </c>
      <c r="F227" s="330">
        <v>0.295</v>
      </c>
      <c r="G227" s="331" t="s">
        <v>198</v>
      </c>
      <c r="I227" s="330">
        <v>0.17300000000000001</v>
      </c>
      <c r="J227" s="331">
        <v>17</v>
      </c>
      <c r="V227" t="str">
        <f t="shared" si="3"/>
        <v>Ergs/Second  &lt;&lt;&lt;&gt;&gt;&gt; BTU/Minute </v>
      </c>
      <c r="W227" t="s">
        <v>597</v>
      </c>
      <c r="X227" t="s">
        <v>455</v>
      </c>
      <c r="Y227">
        <v>5.69E-06</v>
      </c>
    </row>
    <row r="228" spans="2:25" ht="15">
      <c r="B228" s="339">
        <v>0.2657</v>
      </c>
      <c r="D228" s="1">
        <v>6.75</v>
      </c>
      <c r="F228" s="330">
        <v>0.2969</v>
      </c>
      <c r="G228" s="331" t="s">
        <v>202</v>
      </c>
      <c r="I228" s="330">
        <v>0.1719</v>
      </c>
      <c r="J228" s="331" t="s">
        <v>197</v>
      </c>
      <c r="V228" t="str">
        <f t="shared" si="3"/>
        <v>Ergs/Second  &lt;&lt;&lt;&gt;&gt;&gt; HorsePower </v>
      </c>
      <c r="W228" t="s">
        <v>597</v>
      </c>
      <c r="X228" t="s">
        <v>457</v>
      </c>
      <c r="Y228">
        <v>1.34E-10</v>
      </c>
    </row>
    <row r="229" spans="2:25" ht="15">
      <c r="B229" s="339">
        <v>0.266</v>
      </c>
      <c r="C229" s="340" t="s">
        <v>174</v>
      </c>
      <c r="F229" s="330">
        <v>0.302</v>
      </c>
      <c r="G229" s="331" t="s">
        <v>206</v>
      </c>
      <c r="I229" s="330">
        <v>0.1695</v>
      </c>
      <c r="J229" s="331">
        <v>18</v>
      </c>
      <c r="V229" t="str">
        <f t="shared" si="3"/>
        <v>Ergs/Second  &lt;&lt;&lt;&gt;&gt;&gt; Kilowatts </v>
      </c>
      <c r="W229" t="s">
        <v>597</v>
      </c>
      <c r="X229" t="s">
        <v>458</v>
      </c>
      <c r="Y229">
        <v>1E-10</v>
      </c>
    </row>
    <row r="230" spans="2:25" ht="15">
      <c r="B230" s="339">
        <v>0.2677</v>
      </c>
      <c r="D230" s="1">
        <v>6.8</v>
      </c>
      <c r="F230" s="330">
        <v>0.3125</v>
      </c>
      <c r="G230" s="331" t="s">
        <v>212</v>
      </c>
      <c r="I230" s="330">
        <v>0.166</v>
      </c>
      <c r="J230" s="331">
        <v>19</v>
      </c>
      <c r="V230" t="str">
        <f t="shared" si="3"/>
        <v>Faraday/Second  &lt;&lt;&lt;&gt;&gt;&gt; Ampere (absolute) </v>
      </c>
      <c r="W230" t="s">
        <v>598</v>
      </c>
      <c r="X230" t="s">
        <v>599</v>
      </c>
      <c r="Y230">
        <v>96500</v>
      </c>
    </row>
    <row r="231" spans="2:25" ht="15">
      <c r="B231" s="339">
        <v>0.2717</v>
      </c>
      <c r="D231" s="1">
        <v>6.9</v>
      </c>
      <c r="F231" s="330">
        <v>0.316</v>
      </c>
      <c r="G231" s="331" t="s">
        <v>216</v>
      </c>
      <c r="I231" s="330">
        <v>0.161</v>
      </c>
      <c r="J231" s="331">
        <v>20</v>
      </c>
      <c r="V231" t="str">
        <f t="shared" si="3"/>
        <v>Faradays  &lt;&lt;&lt;&gt;&gt;&gt; Ampere-hours </v>
      </c>
      <c r="W231" t="s">
        <v>413</v>
      </c>
      <c r="X231" t="s">
        <v>410</v>
      </c>
      <c r="Y231">
        <v>26.8</v>
      </c>
    </row>
    <row r="232" spans="2:25" ht="15">
      <c r="B232" s="339">
        <v>0.272</v>
      </c>
      <c r="C232" s="340" t="s">
        <v>180</v>
      </c>
      <c r="F232" s="330">
        <v>0.323</v>
      </c>
      <c r="G232" s="331" t="s">
        <v>221</v>
      </c>
      <c r="I232" s="330">
        <v>0.159</v>
      </c>
      <c r="J232" s="331">
        <v>21</v>
      </c>
      <c r="V232" t="str">
        <f t="shared" si="3"/>
        <v>Faradays  &lt;&lt;&lt;&gt;&gt;&gt; Coulombs </v>
      </c>
      <c r="W232" t="s">
        <v>413</v>
      </c>
      <c r="X232" t="s">
        <v>411</v>
      </c>
      <c r="Y232">
        <v>96490</v>
      </c>
    </row>
    <row r="233" spans="2:25" ht="15">
      <c r="B233" s="339">
        <v>0.2756</v>
      </c>
      <c r="D233" s="1">
        <v>7</v>
      </c>
      <c r="F233" s="330">
        <v>0.3281</v>
      </c>
      <c r="G233" s="331" t="s">
        <v>226</v>
      </c>
      <c r="I233" s="330">
        <v>0.157</v>
      </c>
      <c r="J233" s="331">
        <v>22</v>
      </c>
      <c r="V233" t="str">
        <f t="shared" si="3"/>
        <v>Fathoms &lt;&lt;&lt;&gt;&gt;&gt; Feet</v>
      </c>
      <c r="W233" t="s">
        <v>600</v>
      </c>
      <c r="X233" t="s">
        <v>62</v>
      </c>
      <c r="Y233">
        <v>6</v>
      </c>
    </row>
    <row r="234" spans="2:25" ht="15">
      <c r="B234" s="339">
        <v>0.277</v>
      </c>
      <c r="C234" s="340" t="s">
        <v>183</v>
      </c>
      <c r="F234" s="330">
        <v>0.332</v>
      </c>
      <c r="G234" s="331" t="s">
        <v>229</v>
      </c>
      <c r="I234" s="330">
        <v>0.1562</v>
      </c>
      <c r="J234" s="331" t="s">
        <v>179</v>
      </c>
      <c r="V234" t="str">
        <f t="shared" si="3"/>
        <v>Fathoms &lt;&lt;&lt;&gt;&gt;&gt; Meter</v>
      </c>
      <c r="W234" t="s">
        <v>600</v>
      </c>
      <c r="X234" t="s">
        <v>601</v>
      </c>
      <c r="Y234">
        <v>1.828804</v>
      </c>
    </row>
    <row r="235" spans="2:25" ht="15">
      <c r="B235" s="339">
        <v>0.2795</v>
      </c>
      <c r="D235" s="1">
        <v>7.1</v>
      </c>
      <c r="F235" s="330">
        <v>0.339</v>
      </c>
      <c r="G235" s="331" t="s">
        <v>235</v>
      </c>
      <c r="I235" s="330">
        <v>0.154</v>
      </c>
      <c r="J235" s="331">
        <v>23</v>
      </c>
      <c r="V235" t="str">
        <f t="shared" si="3"/>
        <v>Feet &lt;&lt;&lt;&gt;&gt;&gt; Centimeters</v>
      </c>
      <c r="W235" t="s">
        <v>62</v>
      </c>
      <c r="X235" t="s">
        <v>60</v>
      </c>
      <c r="Y235">
        <v>30.48</v>
      </c>
    </row>
    <row r="236" spans="2:25" ht="15">
      <c r="B236" s="339">
        <v>0.281</v>
      </c>
      <c r="C236" s="340" t="s">
        <v>186</v>
      </c>
      <c r="F236" s="330">
        <v>0.3438</v>
      </c>
      <c r="G236" s="331" t="s">
        <v>238</v>
      </c>
      <c r="I236" s="330">
        <v>0.152</v>
      </c>
      <c r="J236" s="331">
        <v>24</v>
      </c>
      <c r="V236" t="str">
        <f t="shared" si="3"/>
        <v>Feet &lt;&lt;&lt;&gt;&gt;&gt; Kilometers</v>
      </c>
      <c r="W236" t="s">
        <v>62</v>
      </c>
      <c r="X236" t="s">
        <v>70</v>
      </c>
      <c r="Y236">
        <v>0.0003048</v>
      </c>
    </row>
    <row r="237" spans="1:25" ht="15">
      <c r="A237" s="183" t="s">
        <v>188</v>
      </c>
      <c r="B237" s="339">
        <v>0.2812</v>
      </c>
      <c r="F237" s="330">
        <v>0.34800000000000003</v>
      </c>
      <c r="G237" s="331" t="s">
        <v>242</v>
      </c>
      <c r="I237" s="330">
        <v>0.1495</v>
      </c>
      <c r="J237" s="331">
        <v>25</v>
      </c>
      <c r="V237" t="str">
        <f t="shared" si="3"/>
        <v>Feet &lt;&lt;&lt;&gt;&gt;&gt; Meters</v>
      </c>
      <c r="W237" t="s">
        <v>62</v>
      </c>
      <c r="X237" t="s">
        <v>64</v>
      </c>
      <c r="Y237">
        <v>0.3048</v>
      </c>
    </row>
    <row r="238" spans="2:25" ht="15">
      <c r="B238" s="339">
        <v>0.28350000000000003</v>
      </c>
      <c r="D238" s="1">
        <v>7.2</v>
      </c>
      <c r="F238" s="330">
        <v>0.358</v>
      </c>
      <c r="G238" s="331" t="s">
        <v>248</v>
      </c>
      <c r="I238" s="330">
        <v>0.147</v>
      </c>
      <c r="J238" s="331">
        <v>26</v>
      </c>
      <c r="V238" t="str">
        <f t="shared" si="3"/>
        <v>Feet &lt;&lt;&lt;&gt;&gt;&gt; Miles (naut.) </v>
      </c>
      <c r="W238" t="s">
        <v>62</v>
      </c>
      <c r="X238" t="s">
        <v>602</v>
      </c>
      <c r="Y238">
        <v>0.0001645</v>
      </c>
    </row>
    <row r="239" spans="2:25" ht="15">
      <c r="B239" s="339">
        <v>0.2854</v>
      </c>
      <c r="D239" s="1">
        <v>7.25</v>
      </c>
      <c r="F239" s="330">
        <v>0.3594</v>
      </c>
      <c r="G239" s="331" t="s">
        <v>252</v>
      </c>
      <c r="I239" s="330">
        <v>0.14400000000000002</v>
      </c>
      <c r="J239" s="331">
        <v>27</v>
      </c>
      <c r="V239" t="str">
        <f t="shared" si="3"/>
        <v>Feet &lt;&lt;&lt;&gt;&gt;&gt; Miles (stat.) </v>
      </c>
      <c r="W239" t="s">
        <v>62</v>
      </c>
      <c r="X239" t="s">
        <v>603</v>
      </c>
      <c r="Y239">
        <v>0.0001894</v>
      </c>
    </row>
    <row r="240" spans="2:25" ht="15">
      <c r="B240" s="339">
        <v>0.2874</v>
      </c>
      <c r="D240" s="1">
        <v>7.3</v>
      </c>
      <c r="F240" s="330">
        <v>0.368</v>
      </c>
      <c r="G240" s="331" t="s">
        <v>257</v>
      </c>
      <c r="I240" s="330">
        <v>0.1406</v>
      </c>
      <c r="J240" s="331" t="s">
        <v>162</v>
      </c>
      <c r="V240" t="str">
        <f t="shared" si="3"/>
        <v>Feet &lt;&lt;&lt;&gt;&gt;&gt; Millimeters</v>
      </c>
      <c r="W240" t="s">
        <v>62</v>
      </c>
      <c r="X240" t="s">
        <v>58</v>
      </c>
      <c r="Y240">
        <v>304.8</v>
      </c>
    </row>
    <row r="241" spans="2:25" ht="15">
      <c r="B241" s="339">
        <v>0.29</v>
      </c>
      <c r="C241" s="340" t="s">
        <v>194</v>
      </c>
      <c r="F241" s="330">
        <v>0.375</v>
      </c>
      <c r="G241" s="331" t="s">
        <v>145</v>
      </c>
      <c r="I241" s="330">
        <v>0.1405</v>
      </c>
      <c r="J241" s="331">
        <v>28</v>
      </c>
      <c r="V241" t="str">
        <f t="shared" si="3"/>
        <v>Feet &lt;&lt;&lt;&gt;&gt;&gt; Mils</v>
      </c>
      <c r="W241" t="s">
        <v>62</v>
      </c>
      <c r="X241" t="s">
        <v>486</v>
      </c>
      <c r="Y241">
        <v>12000</v>
      </c>
    </row>
    <row r="242" spans="2:25" ht="15">
      <c r="B242" s="339">
        <v>0.2913</v>
      </c>
      <c r="D242" s="1">
        <v>7.4</v>
      </c>
      <c r="F242" s="330">
        <v>0.377</v>
      </c>
      <c r="G242" s="331" t="s">
        <v>148</v>
      </c>
      <c r="I242" s="330">
        <v>0.136</v>
      </c>
      <c r="J242" s="331">
        <v>29</v>
      </c>
      <c r="V242" t="str">
        <f t="shared" si="3"/>
        <v>Feet of water  &lt;&lt;&lt;&gt;&gt;&gt; Atmospheres </v>
      </c>
      <c r="W242" t="s">
        <v>488</v>
      </c>
      <c r="X242" t="s">
        <v>416</v>
      </c>
      <c r="Y242">
        <v>0.0295</v>
      </c>
    </row>
    <row r="243" spans="2:25" ht="15">
      <c r="B243" s="339">
        <v>0.295</v>
      </c>
      <c r="C243" s="340" t="s">
        <v>198</v>
      </c>
      <c r="F243" s="330">
        <v>0.386</v>
      </c>
      <c r="G243" s="331" t="s">
        <v>155</v>
      </c>
      <c r="I243" s="330">
        <v>0.1285</v>
      </c>
      <c r="J243" s="331">
        <v>30</v>
      </c>
      <c r="V243" t="str">
        <f t="shared" si="3"/>
        <v>Feet of water  &lt;&lt;&lt;&gt;&gt;&gt; in. of Mercury </v>
      </c>
      <c r="W243" t="s">
        <v>488</v>
      </c>
      <c r="X243" t="s">
        <v>604</v>
      </c>
      <c r="Y243">
        <v>0.8826</v>
      </c>
    </row>
    <row r="244" spans="2:25" ht="15">
      <c r="B244" s="339">
        <v>0.2953</v>
      </c>
      <c r="D244" s="1">
        <v>7.5</v>
      </c>
      <c r="F244" s="330">
        <v>0.3906</v>
      </c>
      <c r="G244" s="331" t="s">
        <v>158</v>
      </c>
      <c r="I244" s="330">
        <v>0.125</v>
      </c>
      <c r="J244" s="331" t="s">
        <v>147</v>
      </c>
      <c r="V244" t="str">
        <f t="shared" si="3"/>
        <v>Feet of water  &lt;&lt;&lt;&gt;&gt;&gt; Kgs/sq. cm </v>
      </c>
      <c r="W244" t="s">
        <v>488</v>
      </c>
      <c r="X244" t="s">
        <v>421</v>
      </c>
      <c r="Y244">
        <v>0.03048</v>
      </c>
    </row>
    <row r="245" spans="1:25" ht="15">
      <c r="A245" s="183" t="s">
        <v>202</v>
      </c>
      <c r="B245" s="339">
        <v>0.2969</v>
      </c>
      <c r="F245" s="330">
        <v>0.397</v>
      </c>
      <c r="G245" s="331" t="s">
        <v>120</v>
      </c>
      <c r="I245" s="330">
        <v>0.12</v>
      </c>
      <c r="J245" s="331">
        <v>31</v>
      </c>
      <c r="V245" t="str">
        <f t="shared" si="3"/>
        <v>Feet of water  &lt;&lt;&lt;&gt;&gt;&gt; Kgs/sq. meter </v>
      </c>
      <c r="W245" t="s">
        <v>488</v>
      </c>
      <c r="X245" t="s">
        <v>423</v>
      </c>
      <c r="Y245">
        <v>304.8</v>
      </c>
    </row>
    <row r="246" spans="2:25" ht="15">
      <c r="B246" s="339">
        <v>0.2992</v>
      </c>
      <c r="D246" s="1">
        <v>7.6</v>
      </c>
      <c r="F246" s="330">
        <v>0.404</v>
      </c>
      <c r="G246" s="331" t="s">
        <v>101</v>
      </c>
      <c r="I246" s="330">
        <v>0.116</v>
      </c>
      <c r="J246" s="331">
        <v>32</v>
      </c>
      <c r="V246" t="str">
        <f t="shared" si="3"/>
        <v>Feet of water  &lt;&lt;&lt;&gt;&gt;&gt; Pounds/sq. Foot </v>
      </c>
      <c r="W246" t="s">
        <v>488</v>
      </c>
      <c r="X246" t="s">
        <v>438</v>
      </c>
      <c r="Y246">
        <v>62.43</v>
      </c>
    </row>
    <row r="247" spans="2:25" ht="15">
      <c r="B247" s="339">
        <v>0.302</v>
      </c>
      <c r="C247" s="340" t="s">
        <v>206</v>
      </c>
      <c r="F247" s="330">
        <v>0.4062</v>
      </c>
      <c r="G247" s="331" t="s">
        <v>165</v>
      </c>
      <c r="I247" s="330">
        <v>0.113</v>
      </c>
      <c r="J247" s="331">
        <v>33</v>
      </c>
      <c r="V247" t="str">
        <f t="shared" si="3"/>
        <v>Feet of water  &lt;&lt;&lt;&gt;&gt;&gt; Pounds/sq. Inch </v>
      </c>
      <c r="W247" t="s">
        <v>488</v>
      </c>
      <c r="X247" t="s">
        <v>424</v>
      </c>
      <c r="Y247">
        <v>0.4335</v>
      </c>
    </row>
    <row r="248" spans="2:25" ht="15">
      <c r="B248" s="339">
        <v>0.3031</v>
      </c>
      <c r="D248" s="1">
        <v>7.7</v>
      </c>
      <c r="F248" s="330">
        <v>0.41300000000000003</v>
      </c>
      <c r="G248" s="331" t="s">
        <v>102</v>
      </c>
      <c r="I248" s="330">
        <v>0.111</v>
      </c>
      <c r="J248" s="331">
        <v>34</v>
      </c>
      <c r="V248" t="str">
        <f t="shared" si="3"/>
        <v>Feet per Hour &lt;&lt;&lt;&gt;&gt;&gt; Meters per Hour</v>
      </c>
      <c r="W248" t="s">
        <v>605</v>
      </c>
      <c r="X248" t="s">
        <v>606</v>
      </c>
      <c r="Y248">
        <v>0.3048</v>
      </c>
    </row>
    <row r="249" spans="2:25" ht="15">
      <c r="B249" s="339">
        <v>0.3051</v>
      </c>
      <c r="D249" s="1">
        <v>7.75</v>
      </c>
      <c r="F249" s="330">
        <v>0.4219</v>
      </c>
      <c r="G249" s="331" t="s">
        <v>169</v>
      </c>
      <c r="I249" s="330">
        <v>0.11</v>
      </c>
      <c r="J249" s="331">
        <v>35</v>
      </c>
      <c r="V249" t="str">
        <f t="shared" si="3"/>
        <v>Feet per Hour &lt;&lt;&lt;&gt;&gt;&gt; Meters per Minute</v>
      </c>
      <c r="W249" t="s">
        <v>605</v>
      </c>
      <c r="X249" t="s">
        <v>607</v>
      </c>
      <c r="Y249">
        <v>0.00508</v>
      </c>
    </row>
    <row r="250" spans="2:25" ht="15">
      <c r="B250" s="339">
        <v>0.3071</v>
      </c>
      <c r="D250" s="1">
        <v>7.8</v>
      </c>
      <c r="F250" s="330">
        <v>0.4375</v>
      </c>
      <c r="G250" s="331" t="s">
        <v>172</v>
      </c>
      <c r="I250" s="330">
        <v>0.1094</v>
      </c>
      <c r="J250" s="331" t="s">
        <v>246</v>
      </c>
      <c r="V250" t="str">
        <f t="shared" si="3"/>
        <v>Feet per Hour &lt;&lt;&lt;&gt;&gt;&gt; Meters per Second</v>
      </c>
      <c r="W250" t="s">
        <v>605</v>
      </c>
      <c r="X250" t="s">
        <v>608</v>
      </c>
      <c r="Y250">
        <v>8.466667E-05</v>
      </c>
    </row>
    <row r="251" spans="2:25" ht="15">
      <c r="B251" s="339">
        <v>0.311</v>
      </c>
      <c r="D251" s="1">
        <v>7.9</v>
      </c>
      <c r="F251" s="330">
        <v>0.4531</v>
      </c>
      <c r="G251" s="331" t="s">
        <v>175</v>
      </c>
      <c r="I251" s="330">
        <v>0.1065</v>
      </c>
      <c r="J251" s="331">
        <v>36</v>
      </c>
      <c r="V251" t="str">
        <f t="shared" si="3"/>
        <v>Feet per Minute &lt;&lt;&lt;&gt;&gt;&gt; Centimeters per Second</v>
      </c>
      <c r="W251" t="s">
        <v>492</v>
      </c>
      <c r="X251" t="s">
        <v>491</v>
      </c>
      <c r="Y251">
        <v>0.508</v>
      </c>
    </row>
    <row r="252" spans="1:25" ht="15">
      <c r="A252" s="183" t="s">
        <v>212</v>
      </c>
      <c r="B252" s="339">
        <v>0.3125</v>
      </c>
      <c r="F252" s="330">
        <v>0.4688</v>
      </c>
      <c r="G252" s="331" t="s">
        <v>178</v>
      </c>
      <c r="I252" s="330">
        <v>0.10400000000000001</v>
      </c>
      <c r="J252" s="331">
        <v>37</v>
      </c>
      <c r="V252" t="str">
        <f t="shared" si="3"/>
        <v>Feet per Minute &lt;&lt;&lt;&gt;&gt;&gt; Meters per Hour</v>
      </c>
      <c r="W252" t="s">
        <v>492</v>
      </c>
      <c r="X252" t="s">
        <v>606</v>
      </c>
      <c r="Y252">
        <v>18.288</v>
      </c>
    </row>
    <row r="253" spans="2:25" ht="15">
      <c r="B253" s="339">
        <v>0.315</v>
      </c>
      <c r="D253" s="1">
        <v>8</v>
      </c>
      <c r="F253" s="330">
        <v>0.4844</v>
      </c>
      <c r="G253" s="331" t="s">
        <v>182</v>
      </c>
      <c r="I253" s="330">
        <v>0.1015</v>
      </c>
      <c r="J253" s="331">
        <v>38</v>
      </c>
      <c r="V253" t="str">
        <f t="shared" si="3"/>
        <v>Feet per Minute &lt;&lt;&lt;&gt;&gt;&gt; Meters per Minute</v>
      </c>
      <c r="W253" t="s">
        <v>492</v>
      </c>
      <c r="X253" t="s">
        <v>607</v>
      </c>
      <c r="Y253">
        <v>0.3048</v>
      </c>
    </row>
    <row r="254" spans="2:25" ht="15">
      <c r="B254" s="339">
        <v>0.316</v>
      </c>
      <c r="C254" s="340" t="s">
        <v>216</v>
      </c>
      <c r="F254" s="330">
        <v>0.5</v>
      </c>
      <c r="G254" s="331" t="s">
        <v>185</v>
      </c>
      <c r="I254" s="330">
        <v>0.0995</v>
      </c>
      <c r="J254" s="331">
        <v>39</v>
      </c>
      <c r="V254" t="str">
        <f t="shared" si="3"/>
        <v>Feet per Minute &lt;&lt;&lt;&gt;&gt;&gt; Meters per Second</v>
      </c>
      <c r="W254" t="s">
        <v>492</v>
      </c>
      <c r="X254" t="s">
        <v>608</v>
      </c>
      <c r="Y254">
        <v>0.00508</v>
      </c>
    </row>
    <row r="255" spans="2:25" ht="15">
      <c r="B255" s="339">
        <v>0.3189</v>
      </c>
      <c r="D255" s="1">
        <v>8.1</v>
      </c>
      <c r="F255" s="330">
        <v>0.5156</v>
      </c>
      <c r="G255" s="331" t="s">
        <v>189</v>
      </c>
      <c r="I255" s="330">
        <v>0.098</v>
      </c>
      <c r="J255" s="331">
        <v>40</v>
      </c>
      <c r="V255" t="str">
        <f t="shared" si="3"/>
        <v>Feet per Second &lt;&lt;&lt;&gt;&gt;&gt; Centimeters per Second</v>
      </c>
      <c r="W255" t="s">
        <v>493</v>
      </c>
      <c r="X255" t="s">
        <v>491</v>
      </c>
      <c r="Y255">
        <v>30.48</v>
      </c>
    </row>
    <row r="256" spans="2:25" ht="15">
      <c r="B256" s="339">
        <v>0.3228</v>
      </c>
      <c r="D256" s="1">
        <v>8.2</v>
      </c>
      <c r="F256" s="330">
        <v>0.5312</v>
      </c>
      <c r="G256" s="331" t="s">
        <v>191</v>
      </c>
      <c r="I256" s="330">
        <v>0.096</v>
      </c>
      <c r="J256" s="331">
        <v>41</v>
      </c>
      <c r="V256" t="str">
        <f t="shared" si="3"/>
        <v>Feet per Second &lt;&lt;&lt;&gt;&gt;&gt; Meters per Minute</v>
      </c>
      <c r="W256" t="s">
        <v>493</v>
      </c>
      <c r="X256" t="s">
        <v>607</v>
      </c>
      <c r="Y256">
        <v>18.288</v>
      </c>
    </row>
    <row r="257" spans="2:25" ht="15">
      <c r="B257" s="339">
        <v>0.323</v>
      </c>
      <c r="C257" s="340" t="s">
        <v>221</v>
      </c>
      <c r="F257" s="330">
        <v>0.5469</v>
      </c>
      <c r="G257" s="331" t="s">
        <v>193</v>
      </c>
      <c r="I257" s="330">
        <v>0.09380000000000001</v>
      </c>
      <c r="J257" s="331" t="s">
        <v>225</v>
      </c>
      <c r="V257" t="str">
        <f t="shared" si="3"/>
        <v>Feet per Second &lt;&lt;&lt;&gt;&gt;&gt; Meters per Second</v>
      </c>
      <c r="W257" t="s">
        <v>493</v>
      </c>
      <c r="X257" t="s">
        <v>608</v>
      </c>
      <c r="Y257">
        <v>0.3048</v>
      </c>
    </row>
    <row r="258" spans="2:25" ht="15">
      <c r="B258" s="339">
        <v>0.3248</v>
      </c>
      <c r="D258" s="1">
        <v>8.25</v>
      </c>
      <c r="F258" s="330">
        <v>0.5625</v>
      </c>
      <c r="G258" s="331" t="s">
        <v>196</v>
      </c>
      <c r="I258" s="330">
        <v>0.0935</v>
      </c>
      <c r="J258" s="331">
        <v>42</v>
      </c>
      <c r="V258" t="str">
        <f t="shared" si="3"/>
        <v>Feet/Minutes  &lt;&lt;&lt;&gt;&gt;&gt; Centimeters/Seconds </v>
      </c>
      <c r="W258" t="s">
        <v>496</v>
      </c>
      <c r="X258" t="s">
        <v>495</v>
      </c>
      <c r="Y258">
        <v>0.508</v>
      </c>
    </row>
    <row r="259" spans="2:25" ht="15">
      <c r="B259" s="339">
        <v>0.3268</v>
      </c>
      <c r="D259" s="1">
        <v>8.3</v>
      </c>
      <c r="F259" s="330">
        <v>0.5781</v>
      </c>
      <c r="G259" s="331" t="s">
        <v>200</v>
      </c>
      <c r="I259" s="330">
        <v>0.089</v>
      </c>
      <c r="J259" s="331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496</v>
      </c>
      <c r="X259" t="s">
        <v>497</v>
      </c>
      <c r="Y259">
        <v>0.01667</v>
      </c>
    </row>
    <row r="260" spans="1:25" ht="15">
      <c r="A260" s="183" t="s">
        <v>226</v>
      </c>
      <c r="B260" s="339">
        <v>0.3281</v>
      </c>
      <c r="F260" s="330">
        <v>0.5938</v>
      </c>
      <c r="G260" s="331" t="s">
        <v>204</v>
      </c>
      <c r="I260" s="330">
        <v>0.08600000000000001</v>
      </c>
      <c r="J260" s="331">
        <v>44</v>
      </c>
      <c r="V260" t="str">
        <f t="shared" si="4"/>
        <v>Feet/Minutes  &lt;&lt;&lt;&gt;&gt;&gt; Kilometers/kr </v>
      </c>
      <c r="W260" t="s">
        <v>496</v>
      </c>
      <c r="X260" t="s">
        <v>609</v>
      </c>
      <c r="Y260">
        <v>0.01829</v>
      </c>
    </row>
    <row r="261" spans="2:25" ht="15">
      <c r="B261" s="339">
        <v>0.3307</v>
      </c>
      <c r="D261" s="1">
        <v>8.4</v>
      </c>
      <c r="F261" s="330">
        <v>0.6094</v>
      </c>
      <c r="G261" s="331" t="s">
        <v>207</v>
      </c>
      <c r="I261" s="330">
        <v>0.082</v>
      </c>
      <c r="J261" s="331">
        <v>45</v>
      </c>
      <c r="V261" t="str">
        <f t="shared" si="4"/>
        <v>Feet/Minutes  &lt;&lt;&lt;&gt;&gt;&gt; Meters/Minutes </v>
      </c>
      <c r="W261" t="s">
        <v>496</v>
      </c>
      <c r="X261" t="s">
        <v>500</v>
      </c>
      <c r="Y261">
        <v>0.3048</v>
      </c>
    </row>
    <row r="262" spans="2:25" ht="15">
      <c r="B262" s="339">
        <v>0.332</v>
      </c>
      <c r="C262" s="340" t="s">
        <v>229</v>
      </c>
      <c r="F262" s="330">
        <v>0.625</v>
      </c>
      <c r="G262" s="331" t="s">
        <v>209</v>
      </c>
      <c r="I262" s="330">
        <v>0.081</v>
      </c>
      <c r="J262" s="331">
        <v>46</v>
      </c>
      <c r="V262" t="str">
        <f t="shared" si="4"/>
        <v>Feet/Minutes  &lt;&lt;&lt;&gt;&gt;&gt; Miles/Hour </v>
      </c>
      <c r="W262" t="s">
        <v>496</v>
      </c>
      <c r="X262" t="s">
        <v>501</v>
      </c>
      <c r="Y262">
        <v>0.01136</v>
      </c>
    </row>
    <row r="263" spans="2:25" ht="15">
      <c r="B263" s="339">
        <v>0.3346</v>
      </c>
      <c r="D263" s="1">
        <v>8.5</v>
      </c>
      <c r="F263" s="330">
        <v>0.6406</v>
      </c>
      <c r="G263" s="331" t="s">
        <v>211</v>
      </c>
      <c r="I263" s="330">
        <v>0.0785</v>
      </c>
      <c r="J263" s="331">
        <v>47</v>
      </c>
      <c r="V263" t="str">
        <f t="shared" si="4"/>
        <v>Feet/Seconds  &lt;&lt;&lt;&gt;&gt;&gt; Centimeters/Seconds </v>
      </c>
      <c r="W263" t="s">
        <v>497</v>
      </c>
      <c r="X263" t="s">
        <v>495</v>
      </c>
      <c r="Y263">
        <v>30.48</v>
      </c>
    </row>
    <row r="264" spans="2:25" ht="15">
      <c r="B264" s="339">
        <v>0.3386</v>
      </c>
      <c r="D264" s="1">
        <v>8.6</v>
      </c>
      <c r="F264" s="330">
        <v>0.6562</v>
      </c>
      <c r="G264" s="331" t="s">
        <v>215</v>
      </c>
      <c r="I264" s="330">
        <v>0.0781</v>
      </c>
      <c r="J264" s="331" t="s">
        <v>201</v>
      </c>
      <c r="V264" t="str">
        <f t="shared" si="4"/>
        <v>Feet/Seconds  &lt;&lt;&lt;&gt;&gt;&gt; Kilometers/Hour </v>
      </c>
      <c r="W264" t="s">
        <v>497</v>
      </c>
      <c r="X264" t="s">
        <v>498</v>
      </c>
      <c r="Y264">
        <v>1.097</v>
      </c>
    </row>
    <row r="265" spans="2:25" ht="15">
      <c r="B265" s="339">
        <v>0.339</v>
      </c>
      <c r="C265" s="340" t="s">
        <v>235</v>
      </c>
      <c r="F265" s="330">
        <v>0.6719</v>
      </c>
      <c r="G265" s="331" t="s">
        <v>218</v>
      </c>
      <c r="I265" s="330">
        <v>0.076</v>
      </c>
      <c r="J265" s="331">
        <v>48</v>
      </c>
      <c r="V265" t="str">
        <f t="shared" si="4"/>
        <v>Feet/Seconds  &lt;&lt;&lt;&gt;&gt;&gt; Knots </v>
      </c>
      <c r="W265" t="s">
        <v>497</v>
      </c>
      <c r="X265" t="s">
        <v>499</v>
      </c>
      <c r="Y265">
        <v>0.5921</v>
      </c>
    </row>
    <row r="266" spans="2:25" ht="15">
      <c r="B266" s="339">
        <v>0.3425</v>
      </c>
      <c r="D266" s="1">
        <v>8.7</v>
      </c>
      <c r="F266" s="330">
        <v>0.6875</v>
      </c>
      <c r="G266" s="331" t="s">
        <v>220</v>
      </c>
      <c r="I266" s="330">
        <v>0.073</v>
      </c>
      <c r="J266" s="331">
        <v>49</v>
      </c>
      <c r="V266" t="str">
        <f t="shared" si="4"/>
        <v>Feet/Seconds  &lt;&lt;&lt;&gt;&gt;&gt; Meters/Minutes </v>
      </c>
      <c r="W266" t="s">
        <v>497</v>
      </c>
      <c r="X266" t="s">
        <v>500</v>
      </c>
      <c r="Y266">
        <v>18.29</v>
      </c>
    </row>
    <row r="267" spans="1:25" ht="15">
      <c r="A267" s="183" t="s">
        <v>238</v>
      </c>
      <c r="B267" s="339">
        <v>0.3438</v>
      </c>
      <c r="F267" s="330">
        <v>0.7031</v>
      </c>
      <c r="G267" s="331" t="s">
        <v>223</v>
      </c>
      <c r="I267" s="330">
        <v>0.07</v>
      </c>
      <c r="J267" s="331">
        <v>50</v>
      </c>
      <c r="V267" t="str">
        <f t="shared" si="4"/>
        <v>Feet/Seconds  &lt;&lt;&lt;&gt;&gt;&gt; Miles/Hour </v>
      </c>
      <c r="W267" t="s">
        <v>497</v>
      </c>
      <c r="X267" t="s">
        <v>501</v>
      </c>
      <c r="Y267">
        <v>0.6818</v>
      </c>
    </row>
    <row r="268" spans="2:25" ht="15">
      <c r="B268" s="339">
        <v>0.34450000000000003</v>
      </c>
      <c r="D268" s="1">
        <v>8.75</v>
      </c>
      <c r="F268" s="330">
        <v>0.7188</v>
      </c>
      <c r="G268" s="331" t="s">
        <v>227</v>
      </c>
      <c r="I268" s="330">
        <v>0.067</v>
      </c>
      <c r="J268" s="331">
        <v>51</v>
      </c>
      <c r="V268" t="str">
        <f t="shared" si="4"/>
        <v>Feet/Seconds  &lt;&lt;&lt;&gt;&gt;&gt; Miles/Minutes </v>
      </c>
      <c r="W268" t="s">
        <v>497</v>
      </c>
      <c r="X268" t="s">
        <v>502</v>
      </c>
      <c r="Y268">
        <v>0.01136</v>
      </c>
    </row>
    <row r="269" spans="2:25" ht="15">
      <c r="B269" s="339">
        <v>0.34650000000000003</v>
      </c>
      <c r="D269" s="1">
        <v>8.8</v>
      </c>
      <c r="F269" s="330">
        <v>0.7344</v>
      </c>
      <c r="G269" s="331" t="s">
        <v>230</v>
      </c>
      <c r="I269" s="330">
        <v>0.0635</v>
      </c>
      <c r="J269" s="331">
        <v>52</v>
      </c>
      <c r="V269" t="str">
        <f t="shared" si="4"/>
        <v>Feet/Seconds/Seconds  &lt;&lt;&lt;&gt;&gt;&gt; Centimeters/Seconds/Seconds </v>
      </c>
      <c r="W269" t="s">
        <v>504</v>
      </c>
      <c r="X269" t="s">
        <v>503</v>
      </c>
      <c r="Y269">
        <v>30.48</v>
      </c>
    </row>
    <row r="270" spans="2:25" ht="15">
      <c r="B270" s="339">
        <v>0.34800000000000003</v>
      </c>
      <c r="C270" s="340" t="s">
        <v>242</v>
      </c>
      <c r="F270" s="330">
        <v>0.75</v>
      </c>
      <c r="G270" s="331" t="s">
        <v>233</v>
      </c>
      <c r="I270" s="330">
        <v>0.0625</v>
      </c>
      <c r="J270" s="331" t="s">
        <v>177</v>
      </c>
      <c r="V270" t="str">
        <f t="shared" si="4"/>
        <v>Feet/Seconds/Seconds  &lt;&lt;&lt;&gt;&gt;&gt; Kilometers/Hour/Seconds </v>
      </c>
      <c r="W270" t="s">
        <v>504</v>
      </c>
      <c r="X270" t="s">
        <v>505</v>
      </c>
      <c r="Y270">
        <v>1.097</v>
      </c>
    </row>
    <row r="271" spans="2:25" ht="15">
      <c r="B271" s="339">
        <v>0.3504</v>
      </c>
      <c r="D271" s="1">
        <v>8.9</v>
      </c>
      <c r="F271" s="330">
        <v>0.7656</v>
      </c>
      <c r="G271" s="331" t="s">
        <v>236</v>
      </c>
      <c r="I271" s="330">
        <v>0.059500000000000004</v>
      </c>
      <c r="J271" s="331">
        <v>53</v>
      </c>
      <c r="V271" t="str">
        <f t="shared" si="4"/>
        <v>Feet/Seconds/Seconds  &lt;&lt;&lt;&gt;&gt;&gt; Meters/Seconds/Seconds </v>
      </c>
      <c r="W271" t="s">
        <v>504</v>
      </c>
      <c r="X271" t="s">
        <v>610</v>
      </c>
      <c r="Y271">
        <v>0.3048</v>
      </c>
    </row>
    <row r="272" spans="2:25" ht="15">
      <c r="B272" s="339">
        <v>0.3543</v>
      </c>
      <c r="D272" s="1">
        <v>9</v>
      </c>
      <c r="F272" s="330">
        <v>0.7812</v>
      </c>
      <c r="G272" s="331" t="s">
        <v>239</v>
      </c>
      <c r="I272" s="330">
        <v>0.055</v>
      </c>
      <c r="J272" s="331">
        <v>54</v>
      </c>
      <c r="V272" t="str">
        <f t="shared" si="4"/>
        <v>Feet/Seconds/Seconds  &lt;&lt;&lt;&gt;&gt;&gt; Miles/Hour/Seconds </v>
      </c>
      <c r="W272" t="s">
        <v>504</v>
      </c>
      <c r="X272" t="s">
        <v>507</v>
      </c>
      <c r="Y272">
        <v>0.6818</v>
      </c>
    </row>
    <row r="273" spans="2:25" ht="15">
      <c r="B273" s="339">
        <v>0.358</v>
      </c>
      <c r="C273" s="340" t="s">
        <v>248</v>
      </c>
      <c r="F273" s="330">
        <v>0.7969</v>
      </c>
      <c r="G273" s="331" t="s">
        <v>241</v>
      </c>
      <c r="I273" s="330">
        <v>0.052000000000000005</v>
      </c>
      <c r="J273" s="331">
        <v>55</v>
      </c>
      <c r="V273" t="str">
        <f t="shared" si="4"/>
        <v>Foot-Candle  &lt;&lt;&lt;&gt;&gt;&gt; Lumen/sq. Meter </v>
      </c>
      <c r="W273" t="s">
        <v>611</v>
      </c>
      <c r="X273" t="s">
        <v>612</v>
      </c>
      <c r="Y273">
        <v>10.764</v>
      </c>
    </row>
    <row r="274" spans="2:25" ht="15">
      <c r="B274" s="339">
        <v>0.3583</v>
      </c>
      <c r="D274" s="1">
        <v>9.1</v>
      </c>
      <c r="F274" s="330">
        <v>0.8125</v>
      </c>
      <c r="G274" s="331" t="s">
        <v>244</v>
      </c>
      <c r="I274" s="330">
        <v>0.046900000000000004</v>
      </c>
      <c r="J274" s="331" t="s">
        <v>157</v>
      </c>
      <c r="V274" t="str">
        <f t="shared" si="4"/>
        <v>Foot-Candle  &lt;&lt;&lt;&gt;&gt;&gt; Lumen/Square Meter </v>
      </c>
      <c r="W274" t="s">
        <v>611</v>
      </c>
      <c r="X274" t="s">
        <v>613</v>
      </c>
      <c r="Y274">
        <v>10.764</v>
      </c>
    </row>
    <row r="275" spans="1:25" ht="15">
      <c r="A275" s="183" t="s">
        <v>252</v>
      </c>
      <c r="B275" s="339">
        <v>0.3594</v>
      </c>
      <c r="F275" s="330">
        <v>0.8281</v>
      </c>
      <c r="G275" s="331" t="s">
        <v>249</v>
      </c>
      <c r="I275" s="330">
        <v>0.0465</v>
      </c>
      <c r="J275" s="331">
        <v>56</v>
      </c>
      <c r="V275" t="str">
        <f t="shared" si="4"/>
        <v>Foot-pounds  &lt;&lt;&lt;&gt;&gt;&gt; BTU </v>
      </c>
      <c r="W275" t="s">
        <v>614</v>
      </c>
      <c r="X275" t="s">
        <v>442</v>
      </c>
      <c r="Y275">
        <v>0.001286</v>
      </c>
    </row>
    <row r="276" spans="2:25" ht="15">
      <c r="B276" s="339">
        <v>0.3622</v>
      </c>
      <c r="D276" s="1">
        <v>9.2</v>
      </c>
      <c r="F276" s="330">
        <v>0.8438</v>
      </c>
      <c r="G276" s="331" t="s">
        <v>251</v>
      </c>
      <c r="I276" s="330">
        <v>0.043000000000000003</v>
      </c>
      <c r="J276" s="331">
        <v>57</v>
      </c>
      <c r="V276" t="str">
        <f t="shared" si="4"/>
        <v>Foot-pounds  &lt;&lt;&lt;&gt;&gt;&gt; Ergs </v>
      </c>
      <c r="W276" t="s">
        <v>614</v>
      </c>
      <c r="X276" t="s">
        <v>443</v>
      </c>
      <c r="Y276">
        <v>13600000</v>
      </c>
    </row>
    <row r="277" spans="2:25" ht="15">
      <c r="B277" s="339">
        <v>0.3642</v>
      </c>
      <c r="D277" s="1">
        <v>9.25</v>
      </c>
      <c r="F277" s="330">
        <v>0.8594</v>
      </c>
      <c r="G277" s="331" t="s">
        <v>254</v>
      </c>
      <c r="I277" s="330">
        <v>0.042</v>
      </c>
      <c r="J277" s="331">
        <v>58</v>
      </c>
      <c r="V277" t="str">
        <f t="shared" si="4"/>
        <v>Foot-pounds  &lt;&lt;&lt;&gt;&gt;&gt; Gram-Calories </v>
      </c>
      <c r="W277" t="s">
        <v>614</v>
      </c>
      <c r="X277" t="s">
        <v>445</v>
      </c>
      <c r="Y277">
        <v>0.3238</v>
      </c>
    </row>
    <row r="278" spans="2:25" ht="15">
      <c r="B278" s="339">
        <v>0.3661</v>
      </c>
      <c r="D278" s="1">
        <v>9.3</v>
      </c>
      <c r="F278" s="330">
        <v>0.875</v>
      </c>
      <c r="G278" s="331" t="s">
        <v>256</v>
      </c>
      <c r="I278" s="330">
        <v>0.041</v>
      </c>
      <c r="J278" s="331">
        <v>59</v>
      </c>
      <c r="V278" t="str">
        <f t="shared" si="4"/>
        <v>Foot-pounds  &lt;&lt;&lt;&gt;&gt;&gt; hp-Hours </v>
      </c>
      <c r="W278" t="s">
        <v>614</v>
      </c>
      <c r="X278" t="s">
        <v>615</v>
      </c>
      <c r="Y278">
        <v>5.05E-07</v>
      </c>
    </row>
    <row r="279" spans="2:25" ht="15">
      <c r="B279" s="339">
        <v>0.368</v>
      </c>
      <c r="C279" s="340" t="s">
        <v>257</v>
      </c>
      <c r="F279" s="330">
        <v>0.8906</v>
      </c>
      <c r="G279" s="331" t="s">
        <v>259</v>
      </c>
      <c r="I279" s="330">
        <v>0.04</v>
      </c>
      <c r="J279" s="331">
        <v>60</v>
      </c>
      <c r="V279" t="str">
        <f t="shared" si="4"/>
        <v>Foot-pounds  &lt;&lt;&lt;&gt;&gt;&gt; Joules </v>
      </c>
      <c r="W279" t="s">
        <v>614</v>
      </c>
      <c r="X279" t="s">
        <v>447</v>
      </c>
      <c r="Y279">
        <v>1.356</v>
      </c>
    </row>
    <row r="280" spans="2:25" ht="15">
      <c r="B280" s="339">
        <v>0.3701</v>
      </c>
      <c r="D280" s="1">
        <v>9.4</v>
      </c>
      <c r="F280" s="330">
        <v>0.9062</v>
      </c>
      <c r="G280" s="331" t="s">
        <v>146</v>
      </c>
      <c r="I280" s="330">
        <v>0.039</v>
      </c>
      <c r="J280" s="331">
        <v>61</v>
      </c>
      <c r="V280" t="str">
        <f t="shared" si="4"/>
        <v>Foot-pounds  &lt;&lt;&lt;&gt;&gt;&gt; Kilogram-Calories </v>
      </c>
      <c r="W280" t="s">
        <v>614</v>
      </c>
      <c r="X280" t="s">
        <v>448</v>
      </c>
      <c r="Y280">
        <v>0.000324</v>
      </c>
    </row>
    <row r="281" spans="2:25" ht="15">
      <c r="B281" s="339">
        <v>0.374</v>
      </c>
      <c r="D281" s="1">
        <v>9.5</v>
      </c>
      <c r="F281" s="330">
        <v>0.9219</v>
      </c>
      <c r="G281" s="331" t="s">
        <v>149</v>
      </c>
      <c r="I281" s="330">
        <v>0.038</v>
      </c>
      <c r="J281" s="331">
        <v>62</v>
      </c>
      <c r="V281" t="str">
        <f t="shared" si="4"/>
        <v>Foot-pounds  &lt;&lt;&lt;&gt;&gt;&gt; Kilowatt-Hours </v>
      </c>
      <c r="W281" t="s">
        <v>614</v>
      </c>
      <c r="X281" t="s">
        <v>450</v>
      </c>
      <c r="Y281">
        <v>3.77E-07</v>
      </c>
    </row>
    <row r="282" spans="1:25" ht="15">
      <c r="A282" s="183" t="s">
        <v>145</v>
      </c>
      <c r="B282" s="339">
        <v>0.375</v>
      </c>
      <c r="F282" s="330">
        <v>0.9375</v>
      </c>
      <c r="G282" s="331" t="s">
        <v>151</v>
      </c>
      <c r="I282" s="330">
        <v>0.037</v>
      </c>
      <c r="J282" s="331">
        <v>63</v>
      </c>
      <c r="V282" t="str">
        <f t="shared" si="4"/>
        <v>Foot-pounds/Minute  &lt;&lt;&lt;&gt;&gt;&gt; BTU/Minute </v>
      </c>
      <c r="W282" t="s">
        <v>616</v>
      </c>
      <c r="X282" t="s">
        <v>455</v>
      </c>
      <c r="Y282">
        <v>0.001286</v>
      </c>
    </row>
    <row r="283" spans="2:25" ht="15">
      <c r="B283" s="339">
        <v>0.377</v>
      </c>
      <c r="C283" s="340" t="s">
        <v>148</v>
      </c>
      <c r="F283" s="330">
        <v>0.9531</v>
      </c>
      <c r="G283" s="331" t="s">
        <v>153</v>
      </c>
      <c r="I283" s="330">
        <v>0.036</v>
      </c>
      <c r="J283" s="331">
        <v>64</v>
      </c>
      <c r="V283" t="str">
        <f t="shared" si="4"/>
        <v>Foot-pounds/Minute  &lt;&lt;&lt;&gt;&gt;&gt; Foot-pounds/Second </v>
      </c>
      <c r="W283" t="s">
        <v>616</v>
      </c>
      <c r="X283" t="s">
        <v>452</v>
      </c>
      <c r="Y283">
        <v>0.01667</v>
      </c>
    </row>
    <row r="284" spans="2:25" ht="15">
      <c r="B284" s="339">
        <v>0.378</v>
      </c>
      <c r="D284" s="1">
        <v>9.6</v>
      </c>
      <c r="F284" s="330">
        <v>0.9688</v>
      </c>
      <c r="G284" s="331" t="s">
        <v>156</v>
      </c>
      <c r="I284" s="330">
        <v>0.035</v>
      </c>
      <c r="J284" s="331">
        <v>65</v>
      </c>
      <c r="V284" t="str">
        <f t="shared" si="4"/>
        <v>Foot-pounds/Minute  &lt;&lt;&lt;&gt;&gt;&gt; HorsePower </v>
      </c>
      <c r="W284" t="s">
        <v>616</v>
      </c>
      <c r="X284" t="s">
        <v>457</v>
      </c>
      <c r="Y284">
        <v>3.03E-05</v>
      </c>
    </row>
    <row r="285" spans="2:25" ht="15">
      <c r="B285" s="339">
        <v>0.3819</v>
      </c>
      <c r="D285" s="1">
        <v>9.7</v>
      </c>
      <c r="F285" s="330">
        <v>0.9844</v>
      </c>
      <c r="G285" s="331" t="s">
        <v>161</v>
      </c>
      <c r="I285" s="330">
        <v>0.033</v>
      </c>
      <c r="J285" s="331">
        <v>66</v>
      </c>
      <c r="V285" t="str">
        <f t="shared" si="4"/>
        <v>Foot-pounds/Minute  &lt;&lt;&lt;&gt;&gt;&gt; Kilowatts </v>
      </c>
      <c r="W285" t="s">
        <v>616</v>
      </c>
      <c r="X285" t="s">
        <v>458</v>
      </c>
      <c r="Y285">
        <v>2.26E-05</v>
      </c>
    </row>
    <row r="286" spans="2:25" ht="15">
      <c r="B286" s="339">
        <v>0.3839</v>
      </c>
      <c r="D286" s="1">
        <v>9.75</v>
      </c>
      <c r="F286" s="330">
        <v>1</v>
      </c>
      <c r="G286" s="331" t="s">
        <v>163</v>
      </c>
      <c r="I286" s="330">
        <v>0.032</v>
      </c>
      <c r="J286" s="331">
        <v>67</v>
      </c>
      <c r="V286" t="str">
        <f t="shared" si="4"/>
        <v>Foot-pounds/Second  &lt;&lt;&lt;&gt;&gt;&gt; BTU/Hour </v>
      </c>
      <c r="W286" t="s">
        <v>452</v>
      </c>
      <c r="X286" t="s">
        <v>451</v>
      </c>
      <c r="Y286">
        <v>4.6263</v>
      </c>
    </row>
    <row r="287" spans="2:25" ht="15">
      <c r="B287" s="339">
        <v>0.3858</v>
      </c>
      <c r="D287" s="1">
        <v>9.8</v>
      </c>
      <c r="F287" s="330">
        <v>1.0156</v>
      </c>
      <c r="G287" s="331" t="s">
        <v>166</v>
      </c>
      <c r="I287" s="330">
        <v>0.0312</v>
      </c>
      <c r="J287" s="331" t="s">
        <v>263</v>
      </c>
      <c r="V287" t="str">
        <f t="shared" si="4"/>
        <v>Foot-pounds/Second  &lt;&lt;&lt;&gt;&gt;&gt; BTU/Minute </v>
      </c>
      <c r="W287" t="s">
        <v>452</v>
      </c>
      <c r="X287" t="s">
        <v>455</v>
      </c>
      <c r="Y287">
        <v>0.07717</v>
      </c>
    </row>
    <row r="288" spans="2:25" ht="15">
      <c r="B288" s="339">
        <v>0.386</v>
      </c>
      <c r="C288" s="340" t="s">
        <v>155</v>
      </c>
      <c r="F288" s="330">
        <v>1.0312</v>
      </c>
      <c r="G288" s="331" t="s">
        <v>168</v>
      </c>
      <c r="I288" s="330">
        <v>0.031</v>
      </c>
      <c r="J288" s="331">
        <v>68</v>
      </c>
      <c r="V288" t="str">
        <f t="shared" si="4"/>
        <v>Foot-pounds/Second  &lt;&lt;&lt;&gt;&gt;&gt; HorsePower </v>
      </c>
      <c r="W288" t="s">
        <v>452</v>
      </c>
      <c r="X288" t="s">
        <v>457</v>
      </c>
      <c r="Y288">
        <v>0.000818</v>
      </c>
    </row>
    <row r="289" spans="2:25" ht="15">
      <c r="B289" s="339">
        <v>0.3898</v>
      </c>
      <c r="D289" s="1">
        <v>9.9</v>
      </c>
      <c r="F289" s="330">
        <v>1.0469</v>
      </c>
      <c r="G289" s="331" t="s">
        <v>171</v>
      </c>
      <c r="I289" s="330">
        <v>0.0292</v>
      </c>
      <c r="J289" s="331">
        <v>69</v>
      </c>
      <c r="V289" t="str">
        <f t="shared" si="4"/>
        <v>Foot-pounds/Second  &lt;&lt;&lt;&gt;&gt;&gt; Kilowatts </v>
      </c>
      <c r="W289" t="s">
        <v>452</v>
      </c>
      <c r="X289" t="s">
        <v>458</v>
      </c>
      <c r="Y289">
        <v>0.001356</v>
      </c>
    </row>
    <row r="290" spans="1:25" ht="15">
      <c r="A290" s="183" t="s">
        <v>158</v>
      </c>
      <c r="B290" s="339">
        <v>0.3906</v>
      </c>
      <c r="F290" s="330">
        <v>1.0625</v>
      </c>
      <c r="G290" s="331" t="s">
        <v>173</v>
      </c>
      <c r="I290" s="330">
        <v>0.028</v>
      </c>
      <c r="J290" s="331">
        <v>70</v>
      </c>
      <c r="V290" t="str">
        <f t="shared" si="4"/>
        <v>Furlongs &lt;&lt;&lt;&gt;&gt;&gt; Feet</v>
      </c>
      <c r="W290" t="s">
        <v>617</v>
      </c>
      <c r="X290" t="s">
        <v>62</v>
      </c>
      <c r="Y290">
        <v>660</v>
      </c>
    </row>
    <row r="291" spans="2:25" ht="15">
      <c r="B291" s="339">
        <v>0.3937</v>
      </c>
      <c r="D291" s="1">
        <v>10</v>
      </c>
      <c r="F291" s="330">
        <v>1.0781</v>
      </c>
      <c r="G291" s="331" t="s">
        <v>176</v>
      </c>
      <c r="I291" s="330">
        <v>0.026</v>
      </c>
      <c r="J291" s="331">
        <v>71</v>
      </c>
      <c r="V291" t="str">
        <f t="shared" si="4"/>
        <v>Furlongs &lt;&lt;&lt;&gt;&gt;&gt; Miles</v>
      </c>
      <c r="W291" t="s">
        <v>617</v>
      </c>
      <c r="X291" t="s">
        <v>68</v>
      </c>
      <c r="Y291">
        <v>0.125</v>
      </c>
    </row>
    <row r="292" spans="2:25" ht="15">
      <c r="B292" s="339">
        <v>0.397</v>
      </c>
      <c r="C292" s="340" t="s">
        <v>120</v>
      </c>
      <c r="F292" s="330">
        <v>1.0938</v>
      </c>
      <c r="G292" s="331" t="s">
        <v>181</v>
      </c>
      <c r="I292" s="330">
        <v>0.025</v>
      </c>
      <c r="J292" s="331">
        <v>72</v>
      </c>
      <c r="V292" t="str">
        <f t="shared" si="4"/>
        <v>Furlongs &lt;&lt;&lt;&gt;&gt;&gt; Rods</v>
      </c>
      <c r="W292" t="s">
        <v>617</v>
      </c>
      <c r="X292" t="s">
        <v>618</v>
      </c>
      <c r="Y292">
        <v>40</v>
      </c>
    </row>
    <row r="293" spans="2:25" ht="15">
      <c r="B293" s="339">
        <v>0.404</v>
      </c>
      <c r="C293" s="340" t="s">
        <v>101</v>
      </c>
      <c r="F293" s="330">
        <v>1.1094</v>
      </c>
      <c r="G293" s="331" t="s">
        <v>184</v>
      </c>
      <c r="I293" s="330">
        <v>0.024</v>
      </c>
      <c r="J293" s="331">
        <v>73</v>
      </c>
      <c r="V293" t="str">
        <f t="shared" si="4"/>
        <v>Gallon (U.K. liquid) &lt;&lt;&lt;&gt;&gt;&gt; Cubic Meters </v>
      </c>
      <c r="W293" t="s">
        <v>550</v>
      </c>
      <c r="X293" t="s">
        <v>463</v>
      </c>
      <c r="Y293">
        <v>0.004546092</v>
      </c>
    </row>
    <row r="294" spans="1:25" ht="15">
      <c r="A294" s="183" t="s">
        <v>165</v>
      </c>
      <c r="B294" s="339">
        <v>0.4062</v>
      </c>
      <c r="F294" s="330">
        <v>1.125</v>
      </c>
      <c r="G294" s="331" t="s">
        <v>187</v>
      </c>
      <c r="I294" s="330">
        <v>0.0225</v>
      </c>
      <c r="J294" s="331">
        <v>74</v>
      </c>
      <c r="V294" t="str">
        <f t="shared" si="4"/>
        <v>Gallon (U.K. liquid) &lt;&lt;&lt;&gt;&gt;&gt; Liters </v>
      </c>
      <c r="W294" t="s">
        <v>550</v>
      </c>
      <c r="X294" t="s">
        <v>464</v>
      </c>
      <c r="Y294">
        <v>4.546092</v>
      </c>
    </row>
    <row r="295" spans="2:25" ht="15">
      <c r="B295" s="339">
        <v>0.41300000000000003</v>
      </c>
      <c r="C295" s="340" t="s">
        <v>102</v>
      </c>
      <c r="F295" s="330">
        <v>1.1406</v>
      </c>
      <c r="G295" s="331" t="s">
        <v>190</v>
      </c>
      <c r="I295" s="330">
        <v>0.021</v>
      </c>
      <c r="J295" s="331">
        <v>75</v>
      </c>
      <c r="V295" t="str">
        <f t="shared" si="4"/>
        <v>Gallon (U.S. liquid) &lt;&lt;&lt;&gt;&gt;&gt; Cubic Meters </v>
      </c>
      <c r="W295" t="s">
        <v>619</v>
      </c>
      <c r="X295" t="s">
        <v>463</v>
      </c>
      <c r="Y295">
        <v>0.003785412</v>
      </c>
    </row>
    <row r="296" spans="2:25" ht="15">
      <c r="B296" s="339">
        <v>0.4134</v>
      </c>
      <c r="D296" s="1">
        <v>10.5</v>
      </c>
      <c r="F296" s="330">
        <v>1.1562</v>
      </c>
      <c r="G296" s="331" t="s">
        <v>192</v>
      </c>
      <c r="I296" s="330">
        <v>0.02</v>
      </c>
      <c r="J296" s="331">
        <v>76</v>
      </c>
      <c r="V296" t="str">
        <f t="shared" si="4"/>
        <v>Gallon (U.S. liquid) &lt;&lt;&lt;&gt;&gt;&gt; Liters </v>
      </c>
      <c r="W296" t="s">
        <v>619</v>
      </c>
      <c r="X296" t="s">
        <v>464</v>
      </c>
      <c r="Y296">
        <v>3.785412</v>
      </c>
    </row>
    <row r="297" spans="1:25" ht="15">
      <c r="A297" s="183" t="s">
        <v>169</v>
      </c>
      <c r="B297" s="339">
        <v>0.4219</v>
      </c>
      <c r="F297" s="330">
        <v>1.1719</v>
      </c>
      <c r="G297" s="331" t="s">
        <v>195</v>
      </c>
      <c r="I297" s="330">
        <v>0.018</v>
      </c>
      <c r="J297" s="331">
        <v>77</v>
      </c>
      <c r="V297" t="str">
        <f t="shared" si="4"/>
        <v>Gallons (liq. British imp.)  &lt;&lt;&lt;&gt;&gt;&gt; Gallons (US liq.) </v>
      </c>
      <c r="W297" t="s">
        <v>620</v>
      </c>
      <c r="X297" t="s">
        <v>532</v>
      </c>
      <c r="Y297">
        <v>1.20095</v>
      </c>
    </row>
    <row r="298" spans="2:25" ht="15">
      <c r="B298" s="339">
        <v>0.4331</v>
      </c>
      <c r="D298" s="1">
        <v>11</v>
      </c>
      <c r="F298" s="330">
        <v>1.1875</v>
      </c>
      <c r="G298" s="331" t="s">
        <v>199</v>
      </c>
      <c r="I298" s="330">
        <v>0.016</v>
      </c>
      <c r="J298" s="331">
        <v>78</v>
      </c>
      <c r="V298" t="str">
        <f t="shared" si="4"/>
        <v>Gallons (U.K. liquid) per Minute &lt;&lt;&lt;&gt;&gt;&gt; Cubic Meters per Minute</v>
      </c>
      <c r="W298" t="s">
        <v>552</v>
      </c>
      <c r="X298" t="s">
        <v>551</v>
      </c>
      <c r="Y298">
        <v>0.004546092</v>
      </c>
    </row>
    <row r="299" spans="1:25" ht="15">
      <c r="A299" s="183" t="s">
        <v>172</v>
      </c>
      <c r="B299" s="339">
        <v>0.4375</v>
      </c>
      <c r="F299" s="330">
        <v>1.2031</v>
      </c>
      <c r="G299" s="331" t="s">
        <v>203</v>
      </c>
      <c r="I299" s="330">
        <v>0.0156</v>
      </c>
      <c r="J299" s="331" t="s">
        <v>262</v>
      </c>
      <c r="V299" t="str">
        <f t="shared" si="4"/>
        <v>Gallons (U.K. liquid) per Minute &lt;&lt;&lt;&gt;&gt;&gt; Cubic Meters per Second</v>
      </c>
      <c r="W299" t="s">
        <v>552</v>
      </c>
      <c r="X299" t="s">
        <v>536</v>
      </c>
      <c r="Y299">
        <v>7.57682E-05</v>
      </c>
    </row>
    <row r="300" spans="2:25" ht="15">
      <c r="B300" s="339">
        <v>0.4528</v>
      </c>
      <c r="D300" s="1">
        <v>11.5</v>
      </c>
      <c r="F300" s="330">
        <v>1.2188</v>
      </c>
      <c r="G300" s="331" t="s">
        <v>205</v>
      </c>
      <c r="I300" s="330">
        <v>0.0145</v>
      </c>
      <c r="J300" s="331">
        <v>79</v>
      </c>
      <c r="V300" t="str">
        <f t="shared" si="4"/>
        <v>Gallons (U.S. liquid) per Minute &lt;&lt;&lt;&gt;&gt;&gt; Cubic Meters per Minute</v>
      </c>
      <c r="W300" t="s">
        <v>553</v>
      </c>
      <c r="X300" t="s">
        <v>551</v>
      </c>
      <c r="Y300">
        <v>0.003785412</v>
      </c>
    </row>
    <row r="301" spans="1:25" ht="15">
      <c r="A301" s="183" t="s">
        <v>175</v>
      </c>
      <c r="B301" s="339">
        <v>0.4531</v>
      </c>
      <c r="F301" s="330">
        <v>1.2344</v>
      </c>
      <c r="G301" s="331" t="s">
        <v>208</v>
      </c>
      <c r="I301" s="330">
        <v>0.0135</v>
      </c>
      <c r="J301" s="331">
        <v>80</v>
      </c>
      <c r="V301" t="str">
        <f t="shared" si="4"/>
        <v>Gallons (U.S. liquid) per Minute &lt;&lt;&lt;&gt;&gt;&gt; Cubic Meters per Second</v>
      </c>
      <c r="W301" t="s">
        <v>553</v>
      </c>
      <c r="X301" t="s">
        <v>536</v>
      </c>
      <c r="Y301">
        <v>6.30902E-05</v>
      </c>
    </row>
    <row r="302" spans="1:25" ht="15">
      <c r="A302" s="183" t="s">
        <v>178</v>
      </c>
      <c r="B302" s="339">
        <v>0.4688</v>
      </c>
      <c r="F302" s="330">
        <v>1.25</v>
      </c>
      <c r="G302" s="331" t="s">
        <v>210</v>
      </c>
      <c r="I302" s="330">
        <v>0.013</v>
      </c>
      <c r="J302" s="331">
        <v>81</v>
      </c>
      <c r="V302" t="str">
        <f t="shared" si="4"/>
        <v>Gallons (U.S. liquid) per Minute &lt;&lt;&lt;&gt;&gt;&gt; Liters per Minute</v>
      </c>
      <c r="W302" t="s">
        <v>553</v>
      </c>
      <c r="X302" t="s">
        <v>537</v>
      </c>
      <c r="Y302">
        <v>3.785412</v>
      </c>
    </row>
    <row r="303" spans="2:25" ht="15">
      <c r="B303" s="339">
        <v>0.4724</v>
      </c>
      <c r="D303" s="1">
        <v>12</v>
      </c>
      <c r="F303" s="330">
        <v>1.2656</v>
      </c>
      <c r="G303" s="331" t="s">
        <v>213</v>
      </c>
      <c r="I303" s="330">
        <v>0.0125</v>
      </c>
      <c r="J303" s="331">
        <v>82</v>
      </c>
      <c r="V303" t="str">
        <f t="shared" si="4"/>
        <v>Gallons (U.S. liquid) per Minute &lt;&lt;&lt;&gt;&gt;&gt; Liters per Second</v>
      </c>
      <c r="W303" t="s">
        <v>553</v>
      </c>
      <c r="X303" t="s">
        <v>621</v>
      </c>
      <c r="Y303">
        <v>0.0630902</v>
      </c>
    </row>
    <row r="304" spans="1:25" ht="15">
      <c r="A304" s="183" t="s">
        <v>182</v>
      </c>
      <c r="B304" s="339">
        <v>0.4844</v>
      </c>
      <c r="F304" s="330">
        <v>1.2812</v>
      </c>
      <c r="G304" s="331" t="s">
        <v>217</v>
      </c>
      <c r="I304" s="330">
        <v>0.012</v>
      </c>
      <c r="J304" s="331">
        <v>83</v>
      </c>
      <c r="V304" t="str">
        <f t="shared" si="4"/>
        <v>Gallons (US)  &lt;&lt;&lt;&gt;&gt;&gt; Gallons (imp.) </v>
      </c>
      <c r="W304" t="s">
        <v>622</v>
      </c>
      <c r="X304" t="s">
        <v>623</v>
      </c>
      <c r="Y304">
        <v>0.83267</v>
      </c>
    </row>
    <row r="305" spans="2:25" ht="15">
      <c r="B305" s="339">
        <v>0.4921</v>
      </c>
      <c r="D305" s="1">
        <v>12.5</v>
      </c>
      <c r="F305" s="330">
        <v>1.2969</v>
      </c>
      <c r="G305" s="331" t="s">
        <v>219</v>
      </c>
      <c r="I305" s="330">
        <v>0.0115</v>
      </c>
      <c r="J305" s="331">
        <v>84</v>
      </c>
      <c r="V305" t="str">
        <f t="shared" si="4"/>
        <v>Gallons/Minute  &lt;&lt;&lt;&gt;&gt;&gt; Cubic Feet/Hour </v>
      </c>
      <c r="W305" t="s">
        <v>544</v>
      </c>
      <c r="X305" t="s">
        <v>624</v>
      </c>
      <c r="Y305">
        <v>8.0208</v>
      </c>
    </row>
    <row r="306" spans="1:25" ht="15">
      <c r="A306" s="183" t="s">
        <v>185</v>
      </c>
      <c r="B306" s="339">
        <v>0.5</v>
      </c>
      <c r="F306" s="330">
        <v>1.3125</v>
      </c>
      <c r="G306" s="331" t="s">
        <v>222</v>
      </c>
      <c r="I306" s="330">
        <v>0.011</v>
      </c>
      <c r="J306" s="331">
        <v>85</v>
      </c>
      <c r="V306" t="str">
        <f t="shared" si="4"/>
        <v>Gallons/Minute  &lt;&lt;&lt;&gt;&gt;&gt; Cubic Feet/Second </v>
      </c>
      <c r="W306" t="s">
        <v>544</v>
      </c>
      <c r="X306" t="s">
        <v>543</v>
      </c>
      <c r="Y306">
        <v>0.002228</v>
      </c>
    </row>
    <row r="307" spans="2:25" ht="15">
      <c r="B307" s="339">
        <v>0.5118</v>
      </c>
      <c r="D307" s="1">
        <v>13</v>
      </c>
      <c r="F307" s="330">
        <v>1.3281</v>
      </c>
      <c r="G307" s="331" t="s">
        <v>224</v>
      </c>
      <c r="I307" s="330">
        <v>0.0105</v>
      </c>
      <c r="J307" s="331">
        <v>86</v>
      </c>
      <c r="V307" t="str">
        <f t="shared" si="4"/>
        <v>Gallons/Minute  &lt;&lt;&lt;&gt;&gt;&gt; Liters/Second </v>
      </c>
      <c r="W307" t="s">
        <v>544</v>
      </c>
      <c r="X307" t="s">
        <v>541</v>
      </c>
      <c r="Y307">
        <v>0.6308</v>
      </c>
    </row>
    <row r="308" spans="1:25" ht="15">
      <c r="A308" s="183" t="s">
        <v>189</v>
      </c>
      <c r="B308" s="339">
        <v>0.5156</v>
      </c>
      <c r="F308" s="330">
        <v>1.3438</v>
      </c>
      <c r="G308" s="331" t="s">
        <v>228</v>
      </c>
      <c r="I308" s="330">
        <v>0.01</v>
      </c>
      <c r="J308" s="331">
        <v>87</v>
      </c>
      <c r="V308" t="str">
        <f t="shared" si="4"/>
        <v>Gilberts  &lt;&lt;&lt;&gt;&gt;&gt; Ampere-turns </v>
      </c>
      <c r="W308" t="s">
        <v>415</v>
      </c>
      <c r="X308" t="s">
        <v>414</v>
      </c>
      <c r="Y308">
        <v>0.7958</v>
      </c>
    </row>
    <row r="309" spans="1:25" ht="15">
      <c r="A309" s="183" t="s">
        <v>191</v>
      </c>
      <c r="B309" s="339">
        <v>0.5312</v>
      </c>
      <c r="F309" s="330">
        <v>1.3594</v>
      </c>
      <c r="G309" s="331" t="s">
        <v>232</v>
      </c>
      <c r="I309" s="330">
        <v>0.0095</v>
      </c>
      <c r="J309" s="331">
        <v>88</v>
      </c>
      <c r="V309" t="str">
        <f t="shared" si="4"/>
        <v>Gilberts/Centimeters  &lt;&lt;&lt;&gt;&gt;&gt; amp-turns/Centimeters </v>
      </c>
      <c r="W309" t="s">
        <v>625</v>
      </c>
      <c r="X309" t="s">
        <v>626</v>
      </c>
      <c r="Y309">
        <v>0.7958</v>
      </c>
    </row>
    <row r="310" spans="2:25" ht="15">
      <c r="B310" s="339">
        <v>0.5315</v>
      </c>
      <c r="D310" s="1">
        <v>13.5</v>
      </c>
      <c r="F310" s="330">
        <v>1.375</v>
      </c>
      <c r="G310" s="331" t="s">
        <v>234</v>
      </c>
      <c r="I310" s="330">
        <v>0.0091</v>
      </c>
      <c r="J310" s="331">
        <v>89</v>
      </c>
      <c r="V310" t="str">
        <f t="shared" si="4"/>
        <v>Gilberts/Centimeters  &lt;&lt;&lt;&gt;&gt;&gt; amp-turns/in </v>
      </c>
      <c r="W310" t="s">
        <v>625</v>
      </c>
      <c r="X310" t="s">
        <v>627</v>
      </c>
      <c r="Y310">
        <v>2.021</v>
      </c>
    </row>
    <row r="311" spans="1:25" ht="15">
      <c r="A311" s="183" t="s">
        <v>193</v>
      </c>
      <c r="B311" s="339">
        <v>0.5469</v>
      </c>
      <c r="F311" s="330">
        <v>1.3906</v>
      </c>
      <c r="G311" s="331" t="s">
        <v>237</v>
      </c>
      <c r="I311" s="330">
        <v>0.0087</v>
      </c>
      <c r="J311" s="331">
        <v>90</v>
      </c>
      <c r="V311" t="str">
        <f t="shared" si="4"/>
        <v>Gilberts/Centimeters  &lt;&lt;&lt;&gt;&gt;&gt; amp-turns/Meter </v>
      </c>
      <c r="W311" t="s">
        <v>625</v>
      </c>
      <c r="X311" t="s">
        <v>628</v>
      </c>
      <c r="Y311">
        <v>79.581</v>
      </c>
    </row>
    <row r="312" spans="2:25" ht="15">
      <c r="B312" s="339">
        <v>0.5512</v>
      </c>
      <c r="D312" s="1">
        <v>14</v>
      </c>
      <c r="F312" s="330">
        <v>1.4062</v>
      </c>
      <c r="G312" s="331" t="s">
        <v>240</v>
      </c>
      <c r="I312" s="330">
        <v>0.0083</v>
      </c>
      <c r="J312" s="331">
        <v>91</v>
      </c>
      <c r="V312" t="str">
        <f t="shared" si="4"/>
        <v>Gills  &lt;&lt;&lt;&gt;&gt;&gt; Liters </v>
      </c>
      <c r="W312" t="s">
        <v>629</v>
      </c>
      <c r="X312" t="s">
        <v>464</v>
      </c>
      <c r="Y312">
        <v>0.1183</v>
      </c>
    </row>
    <row r="313" spans="1:25" ht="15">
      <c r="A313" s="183" t="s">
        <v>196</v>
      </c>
      <c r="B313" s="339">
        <v>0.5625</v>
      </c>
      <c r="F313" s="330">
        <v>1.4219</v>
      </c>
      <c r="G313" s="331" t="s">
        <v>243</v>
      </c>
      <c r="I313" s="330">
        <v>0.0079</v>
      </c>
      <c r="J313" s="331">
        <v>92</v>
      </c>
      <c r="V313" t="str">
        <f t="shared" si="4"/>
        <v>Gills  &lt;&lt;&lt;&gt;&gt;&gt; Pints (liq.) </v>
      </c>
      <c r="W313" t="s">
        <v>629</v>
      </c>
      <c r="X313" t="s">
        <v>630</v>
      </c>
      <c r="Y313">
        <v>0.25</v>
      </c>
    </row>
    <row r="314" spans="2:25" ht="15">
      <c r="B314" s="339">
        <v>0.5709</v>
      </c>
      <c r="D314" s="1">
        <v>14.5</v>
      </c>
      <c r="F314" s="330">
        <v>1.4375</v>
      </c>
      <c r="G314" s="331" t="s">
        <v>245</v>
      </c>
      <c r="I314" s="330">
        <v>0.0075</v>
      </c>
      <c r="J314" s="331">
        <v>93</v>
      </c>
      <c r="V314" t="str">
        <f t="shared" si="4"/>
        <v>Gills (British)  &lt;&lt;&lt;&gt;&gt;&gt; Cubic cm </v>
      </c>
      <c r="W314" t="s">
        <v>631</v>
      </c>
      <c r="X314" t="s">
        <v>632</v>
      </c>
      <c r="Y314">
        <v>142.07</v>
      </c>
    </row>
    <row r="315" spans="1:25" ht="15">
      <c r="A315" s="183" t="s">
        <v>200</v>
      </c>
      <c r="B315" s="339">
        <v>0.5781</v>
      </c>
      <c r="F315" s="330">
        <v>1.4531</v>
      </c>
      <c r="G315" s="331" t="s">
        <v>250</v>
      </c>
      <c r="I315" s="330">
        <v>0.0071</v>
      </c>
      <c r="J315" s="331">
        <v>94</v>
      </c>
      <c r="V315" t="str">
        <f t="shared" si="4"/>
        <v>Grains (1/7000 lb. avoirdupois) &lt;&lt;&lt;&gt;&gt;&gt; Grams</v>
      </c>
      <c r="W315" t="s">
        <v>633</v>
      </c>
      <c r="X315" t="s">
        <v>78</v>
      </c>
      <c r="Y315">
        <v>0.06479891</v>
      </c>
    </row>
    <row r="316" spans="2:25" ht="15">
      <c r="B316" s="339">
        <v>0.5906</v>
      </c>
      <c r="D316" s="1">
        <v>15</v>
      </c>
      <c r="F316" s="330">
        <v>1.4688</v>
      </c>
      <c r="G316" s="331" t="s">
        <v>253</v>
      </c>
      <c r="I316" s="330">
        <v>0.0067</v>
      </c>
      <c r="J316" s="331">
        <v>95</v>
      </c>
      <c r="V316" t="str">
        <f t="shared" si="4"/>
        <v>Grains (troy)  &lt;&lt;&lt;&gt;&gt;&gt; Grains (avoirdupois) </v>
      </c>
      <c r="W316" t="s">
        <v>634</v>
      </c>
      <c r="X316" t="s">
        <v>635</v>
      </c>
      <c r="Y316">
        <v>1</v>
      </c>
    </row>
    <row r="317" spans="1:25" ht="15">
      <c r="A317" s="183" t="s">
        <v>204</v>
      </c>
      <c r="B317" s="339">
        <v>0.5938</v>
      </c>
      <c r="F317" s="330">
        <v>1.4844</v>
      </c>
      <c r="G317" s="331" t="s">
        <v>255</v>
      </c>
      <c r="I317" s="330">
        <v>0.0063</v>
      </c>
      <c r="J317" s="331">
        <v>96</v>
      </c>
      <c r="V317" t="str">
        <f t="shared" si="4"/>
        <v>Grains (troy)  &lt;&lt;&lt;&gt;&gt;&gt; Grams </v>
      </c>
      <c r="W317" t="s">
        <v>634</v>
      </c>
      <c r="X317" t="s">
        <v>479</v>
      </c>
      <c r="Y317">
        <v>0.0648</v>
      </c>
    </row>
    <row r="318" spans="1:25" ht="15">
      <c r="A318" s="183" t="s">
        <v>207</v>
      </c>
      <c r="B318" s="339">
        <v>0.6094</v>
      </c>
      <c r="F318" s="330">
        <v>1.5</v>
      </c>
      <c r="G318" s="331" t="s">
        <v>258</v>
      </c>
      <c r="I318" s="330">
        <v>0.0059</v>
      </c>
      <c r="J318" s="331">
        <v>97</v>
      </c>
      <c r="V318" t="str">
        <f t="shared" si="4"/>
        <v>Grains (troy)  &lt;&lt;&lt;&gt;&gt;&gt; Ounces (avoirdupois) </v>
      </c>
      <c r="W318" t="s">
        <v>634</v>
      </c>
      <c r="X318" t="s">
        <v>636</v>
      </c>
      <c r="Y318">
        <v>0.0020833</v>
      </c>
    </row>
    <row r="319" spans="2:25" ht="15">
      <c r="B319" s="339">
        <v>0.6102</v>
      </c>
      <c r="D319" s="1">
        <v>15.5</v>
      </c>
      <c r="V319" t="str">
        <f t="shared" si="4"/>
        <v>Grains (troy)  &lt;&lt;&lt;&gt;&gt;&gt; Pennyweight (troy) </v>
      </c>
      <c r="W319" t="s">
        <v>634</v>
      </c>
      <c r="X319" t="s">
        <v>637</v>
      </c>
      <c r="Y319">
        <v>0.04167</v>
      </c>
    </row>
    <row r="320" spans="1:25" ht="15">
      <c r="A320" s="183" t="s">
        <v>209</v>
      </c>
      <c r="B320" s="339">
        <v>0.625</v>
      </c>
      <c r="V320" t="str">
        <f t="shared" si="4"/>
        <v>Grams &lt;&lt;&lt;&gt;&gt;&gt; Dynes</v>
      </c>
      <c r="W320" t="s">
        <v>78</v>
      </c>
      <c r="X320" t="s">
        <v>583</v>
      </c>
      <c r="Y320">
        <v>980.7</v>
      </c>
    </row>
    <row r="321" spans="2:25" ht="15">
      <c r="B321" s="339">
        <v>0.6299</v>
      </c>
      <c r="D321" s="1">
        <v>16</v>
      </c>
      <c r="V321" t="str">
        <f t="shared" si="4"/>
        <v>Grams &lt;&lt;&lt;&gt;&gt;&gt; Grains</v>
      </c>
      <c r="W321" t="s">
        <v>78</v>
      </c>
      <c r="X321" t="s">
        <v>638</v>
      </c>
      <c r="Y321">
        <v>15.43236</v>
      </c>
    </row>
    <row r="322" spans="1:25" ht="15">
      <c r="A322" s="183" t="s">
        <v>211</v>
      </c>
      <c r="B322" s="339">
        <v>0.6406</v>
      </c>
      <c r="V322" t="str">
        <f t="shared" si="4"/>
        <v>Grams &lt;&lt;&lt;&gt;&gt;&gt; Kilograms (kg)</v>
      </c>
      <c r="W322" t="s">
        <v>78</v>
      </c>
      <c r="X322" t="s">
        <v>639</v>
      </c>
      <c r="Y322">
        <v>0.001</v>
      </c>
    </row>
    <row r="323" spans="2:25" ht="15">
      <c r="B323" s="339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78</v>
      </c>
      <c r="X323" t="s">
        <v>640</v>
      </c>
      <c r="Y323">
        <v>0.03527397</v>
      </c>
    </row>
    <row r="324" spans="1:25" ht="15">
      <c r="A324" s="183" t="s">
        <v>215</v>
      </c>
      <c r="B324" s="339">
        <v>0.6562</v>
      </c>
      <c r="V324" t="str">
        <f t="shared" si="5"/>
        <v>Grams &lt;&lt;&lt;&gt;&gt;&gt; Ounces (troy)</v>
      </c>
      <c r="W324" t="s">
        <v>78</v>
      </c>
      <c r="X324" t="s">
        <v>641</v>
      </c>
      <c r="Y324">
        <v>0.03215074</v>
      </c>
    </row>
    <row r="325" spans="2:25" ht="15">
      <c r="B325" s="339">
        <v>0.6693</v>
      </c>
      <c r="D325" s="1">
        <v>17</v>
      </c>
      <c r="V325" t="str">
        <f t="shared" si="5"/>
        <v>Grams  &lt;&lt;&lt;&gt;&gt;&gt; Carat(metric) </v>
      </c>
      <c r="W325" t="s">
        <v>479</v>
      </c>
      <c r="X325" t="s">
        <v>642</v>
      </c>
      <c r="Y325">
        <v>5</v>
      </c>
    </row>
    <row r="326" spans="1:25" ht="15">
      <c r="A326" s="183" t="s">
        <v>218</v>
      </c>
      <c r="B326" s="339">
        <v>0.6719</v>
      </c>
      <c r="V326" t="str">
        <f t="shared" si="5"/>
        <v>Grams  &lt;&lt;&lt;&gt;&gt;&gt; Dram </v>
      </c>
      <c r="W326" t="s">
        <v>479</v>
      </c>
      <c r="X326" t="s">
        <v>643</v>
      </c>
      <c r="Y326">
        <v>0.56438339</v>
      </c>
    </row>
    <row r="327" spans="1:25" ht="15">
      <c r="A327" s="183" t="s">
        <v>220</v>
      </c>
      <c r="B327" s="339">
        <v>0.6875</v>
      </c>
      <c r="V327" t="str">
        <f t="shared" si="5"/>
        <v>Grams  &lt;&lt;&lt;&gt;&gt;&gt; Dynes </v>
      </c>
      <c r="W327" t="s">
        <v>479</v>
      </c>
      <c r="X327" t="s">
        <v>588</v>
      </c>
      <c r="Y327">
        <v>980.7</v>
      </c>
    </row>
    <row r="328" spans="2:25" ht="15">
      <c r="B328" s="339">
        <v>0.6890000000000001</v>
      </c>
      <c r="D328" s="1">
        <v>17.5</v>
      </c>
      <c r="V328" t="str">
        <f t="shared" si="5"/>
        <v>Grams  &lt;&lt;&lt;&gt;&gt;&gt; Grains </v>
      </c>
      <c r="W328" t="s">
        <v>479</v>
      </c>
      <c r="X328" t="s">
        <v>566</v>
      </c>
      <c r="Y328">
        <v>15.43</v>
      </c>
    </row>
    <row r="329" spans="1:25" ht="15">
      <c r="A329" s="183" t="s">
        <v>223</v>
      </c>
      <c r="B329" s="339">
        <v>0.7031</v>
      </c>
      <c r="V329" t="str">
        <f t="shared" si="5"/>
        <v>Grams  &lt;&lt;&lt;&gt;&gt;&gt; Joules/cm </v>
      </c>
      <c r="W329" t="s">
        <v>479</v>
      </c>
      <c r="X329" t="s">
        <v>644</v>
      </c>
      <c r="Y329">
        <v>9.81E-05</v>
      </c>
    </row>
    <row r="330" spans="2:25" ht="15">
      <c r="B330" s="339">
        <v>0.7087</v>
      </c>
      <c r="D330" s="1">
        <v>18</v>
      </c>
      <c r="V330" t="str">
        <f t="shared" si="5"/>
        <v>Grams  &lt;&lt;&lt;&gt;&gt;&gt; Joules/meter (newtons) </v>
      </c>
      <c r="W330" t="s">
        <v>479</v>
      </c>
      <c r="X330" t="s">
        <v>645</v>
      </c>
      <c r="Y330">
        <v>0.00981</v>
      </c>
    </row>
    <row r="331" spans="1:25" ht="15">
      <c r="A331" s="183" t="s">
        <v>227</v>
      </c>
      <c r="B331" s="339">
        <v>0.7188</v>
      </c>
      <c r="V331" t="str">
        <f t="shared" si="5"/>
        <v>Grams  &lt;&lt;&lt;&gt;&gt;&gt; Kilograms </v>
      </c>
      <c r="W331" t="s">
        <v>479</v>
      </c>
      <c r="X331" t="s">
        <v>589</v>
      </c>
      <c r="Y331">
        <v>0.001</v>
      </c>
    </row>
    <row r="332" spans="2:25" ht="15">
      <c r="B332" s="339">
        <v>0.7283</v>
      </c>
      <c r="D332" s="1">
        <v>18.5</v>
      </c>
      <c r="V332" t="str">
        <f t="shared" si="5"/>
        <v>Grams  &lt;&lt;&lt;&gt;&gt;&gt; Milligrams </v>
      </c>
      <c r="W332" t="s">
        <v>479</v>
      </c>
      <c r="X332" t="s">
        <v>646</v>
      </c>
      <c r="Y332">
        <v>1000</v>
      </c>
    </row>
    <row r="333" spans="1:25" ht="15">
      <c r="A333" s="183" t="s">
        <v>230</v>
      </c>
      <c r="B333" s="339">
        <v>0.7344</v>
      </c>
      <c r="V333" t="str">
        <f t="shared" si="5"/>
        <v>Grams  &lt;&lt;&lt;&gt;&gt;&gt; Ounces (troy) </v>
      </c>
      <c r="W333" t="s">
        <v>479</v>
      </c>
      <c r="X333" t="s">
        <v>569</v>
      </c>
      <c r="Y333">
        <v>0.032150747</v>
      </c>
    </row>
    <row r="334" spans="2:25" ht="15">
      <c r="B334" s="339">
        <v>0.748</v>
      </c>
      <c r="D334" s="1">
        <v>19</v>
      </c>
      <c r="V334" t="str">
        <f t="shared" si="5"/>
        <v>Grams  &lt;&lt;&lt;&gt;&gt;&gt; Ounces(avoirdupois) </v>
      </c>
      <c r="W334" t="s">
        <v>479</v>
      </c>
      <c r="X334" t="s">
        <v>647</v>
      </c>
      <c r="Y334">
        <v>0.035273962</v>
      </c>
    </row>
    <row r="335" spans="1:25" ht="15">
      <c r="A335" s="183" t="s">
        <v>233</v>
      </c>
      <c r="B335" s="339">
        <v>0.75</v>
      </c>
      <c r="V335" t="str">
        <f t="shared" si="5"/>
        <v>Grams  &lt;&lt;&lt;&gt;&gt;&gt; Poundals </v>
      </c>
      <c r="W335" t="s">
        <v>479</v>
      </c>
      <c r="X335" t="s">
        <v>590</v>
      </c>
      <c r="Y335">
        <v>0.07093</v>
      </c>
    </row>
    <row r="336" spans="1:25" ht="15">
      <c r="A336" s="183" t="s">
        <v>236</v>
      </c>
      <c r="B336" s="339">
        <v>0.7656</v>
      </c>
      <c r="V336" t="str">
        <f t="shared" si="5"/>
        <v>Grams  &lt;&lt;&lt;&gt;&gt;&gt; Pounds </v>
      </c>
      <c r="W336" t="s">
        <v>479</v>
      </c>
      <c r="X336" t="s">
        <v>591</v>
      </c>
      <c r="Y336">
        <v>0.002204623</v>
      </c>
    </row>
    <row r="337" spans="2:25" ht="15">
      <c r="B337" s="339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648</v>
      </c>
      <c r="X337" t="s">
        <v>649</v>
      </c>
      <c r="Y337">
        <v>0.0361273</v>
      </c>
    </row>
    <row r="338" spans="1:25" ht="15">
      <c r="A338" s="183" t="s">
        <v>239</v>
      </c>
      <c r="B338" s="339">
        <v>0.7812</v>
      </c>
      <c r="V338" t="str">
        <f t="shared" si="5"/>
        <v>Grams/cm  &lt;&lt;&lt;&gt;&gt;&gt; Pounds/Inch </v>
      </c>
      <c r="W338" t="s">
        <v>650</v>
      </c>
      <c r="X338" t="s">
        <v>651</v>
      </c>
      <c r="Y338">
        <v>0.0056</v>
      </c>
    </row>
    <row r="339" spans="2:25" ht="15">
      <c r="B339" s="339">
        <v>0.7874</v>
      </c>
      <c r="D339" s="1">
        <v>20</v>
      </c>
      <c r="V339" t="str">
        <f t="shared" si="5"/>
        <v>Grams/cu. cm  &lt;&lt;&lt;&gt;&gt;&gt; Pounds/cu. Foot </v>
      </c>
      <c r="W339" t="s">
        <v>652</v>
      </c>
      <c r="X339" t="s">
        <v>653</v>
      </c>
      <c r="Y339">
        <v>62.43</v>
      </c>
    </row>
    <row r="340" spans="1:25" ht="15">
      <c r="A340" s="183" t="s">
        <v>241</v>
      </c>
      <c r="B340" s="339">
        <v>0.7969</v>
      </c>
      <c r="V340" t="str">
        <f t="shared" si="5"/>
        <v>Grams/cu. cm  &lt;&lt;&lt;&gt;&gt;&gt; Pounds/cu. Inch </v>
      </c>
      <c r="W340" t="s">
        <v>652</v>
      </c>
      <c r="X340" t="s">
        <v>654</v>
      </c>
      <c r="Y340">
        <v>0.03613</v>
      </c>
    </row>
    <row r="341" spans="2:25" ht="15">
      <c r="B341" s="339">
        <v>0.8071</v>
      </c>
      <c r="D341" s="1">
        <v>20.5</v>
      </c>
      <c r="V341" t="str">
        <f t="shared" si="5"/>
        <v>Hand &lt;&lt;&lt;&gt;&gt;&gt; Centimeters</v>
      </c>
      <c r="W341" t="s">
        <v>655</v>
      </c>
      <c r="X341" t="s">
        <v>60</v>
      </c>
      <c r="Y341">
        <v>10.16</v>
      </c>
    </row>
    <row r="342" spans="1:25" ht="15">
      <c r="A342" s="183" t="s">
        <v>244</v>
      </c>
      <c r="B342" s="339">
        <v>0.8125</v>
      </c>
      <c r="V342" t="str">
        <f t="shared" si="5"/>
        <v>Hectares  &lt;&lt;&lt;&gt;&gt;&gt; Acres </v>
      </c>
      <c r="W342" t="s">
        <v>656</v>
      </c>
      <c r="X342" t="s">
        <v>406</v>
      </c>
      <c r="Y342">
        <v>2.471054</v>
      </c>
    </row>
    <row r="343" spans="2:25" ht="15">
      <c r="B343" s="339">
        <v>0.8268</v>
      </c>
      <c r="D343" s="1">
        <v>21</v>
      </c>
      <c r="V343" t="str">
        <f t="shared" si="5"/>
        <v>Hectares  &lt;&lt;&lt;&gt;&gt;&gt; Square Feet </v>
      </c>
      <c r="W343" t="s">
        <v>656</v>
      </c>
      <c r="X343" t="s">
        <v>405</v>
      </c>
      <c r="Y343">
        <v>107600</v>
      </c>
    </row>
    <row r="344" spans="1:25" ht="15">
      <c r="A344" s="183" t="s">
        <v>249</v>
      </c>
      <c r="B344" s="339">
        <v>0.8281</v>
      </c>
      <c r="V344" t="str">
        <f t="shared" si="5"/>
        <v>Hectograms  &lt;&lt;&lt;&gt;&gt;&gt; Grams </v>
      </c>
      <c r="W344" t="s">
        <v>657</v>
      </c>
      <c r="X344" t="s">
        <v>479</v>
      </c>
      <c r="Y344">
        <v>100</v>
      </c>
    </row>
    <row r="345" spans="1:25" ht="15">
      <c r="A345" s="183" t="s">
        <v>251</v>
      </c>
      <c r="B345" s="339">
        <v>0.8438</v>
      </c>
      <c r="V345" t="str">
        <f t="shared" si="5"/>
        <v>Hectoliters  &lt;&lt;&lt;&gt;&gt;&gt; Liters </v>
      </c>
      <c r="W345" t="s">
        <v>658</v>
      </c>
      <c r="X345" t="s">
        <v>464</v>
      </c>
      <c r="Y345">
        <v>100</v>
      </c>
    </row>
    <row r="346" spans="2:25" ht="15">
      <c r="B346" s="339">
        <v>0.8465</v>
      </c>
      <c r="D346" s="1">
        <v>21.5</v>
      </c>
      <c r="V346" t="str">
        <f t="shared" si="5"/>
        <v>Hectometers &lt;&lt;&lt;&gt;&gt;&gt; Meters</v>
      </c>
      <c r="W346" t="s">
        <v>659</v>
      </c>
      <c r="X346" t="s">
        <v>64</v>
      </c>
      <c r="Y346">
        <v>100</v>
      </c>
    </row>
    <row r="347" spans="1:25" ht="15">
      <c r="A347" s="183" t="s">
        <v>254</v>
      </c>
      <c r="B347" s="339">
        <v>0.8594</v>
      </c>
      <c r="V347" t="str">
        <f t="shared" si="5"/>
        <v>hectowatts  &lt;&lt;&lt;&gt;&gt;&gt; Watts </v>
      </c>
      <c r="W347" t="s">
        <v>660</v>
      </c>
      <c r="X347" t="s">
        <v>454</v>
      </c>
      <c r="Y347">
        <v>100</v>
      </c>
    </row>
    <row r="348" spans="2:25" ht="15">
      <c r="B348" s="339">
        <v>0.8661</v>
      </c>
      <c r="D348" s="1">
        <v>22</v>
      </c>
      <c r="V348" t="str">
        <f t="shared" si="5"/>
        <v>Hogsheads (British)  &lt;&lt;&lt;&gt;&gt;&gt; Cubic Feet </v>
      </c>
      <c r="W348" t="s">
        <v>661</v>
      </c>
      <c r="X348" t="s">
        <v>402</v>
      </c>
      <c r="Y348">
        <v>10.114</v>
      </c>
    </row>
    <row r="349" spans="1:25" ht="15">
      <c r="A349" s="183" t="s">
        <v>256</v>
      </c>
      <c r="B349" s="339">
        <v>0.875</v>
      </c>
      <c r="V349" t="str">
        <f t="shared" si="5"/>
        <v>Hogsheads (U.S.)  &lt;&lt;&lt;&gt;&gt;&gt; Cubic Feet </v>
      </c>
      <c r="W349" t="s">
        <v>662</v>
      </c>
      <c r="X349" t="s">
        <v>402</v>
      </c>
      <c r="Y349">
        <v>8.42184</v>
      </c>
    </row>
    <row r="350" spans="2:25" ht="15">
      <c r="B350" s="339">
        <v>0.8858</v>
      </c>
      <c r="D350" s="1">
        <v>22.5</v>
      </c>
      <c r="V350" t="str">
        <f t="shared" si="5"/>
        <v>Hogsheads (U.S.)  &lt;&lt;&lt;&gt;&gt;&gt; Gallons (U.S.) </v>
      </c>
      <c r="W350" t="s">
        <v>662</v>
      </c>
      <c r="X350" t="s">
        <v>663</v>
      </c>
      <c r="Y350">
        <v>63</v>
      </c>
    </row>
    <row r="351" spans="1:25" ht="15">
      <c r="A351" s="183" t="s">
        <v>259</v>
      </c>
      <c r="B351" s="339">
        <v>0.8906</v>
      </c>
      <c r="V351" t="str">
        <f t="shared" si="5"/>
        <v>HorsePower  &lt;&lt;&lt;&gt;&gt;&gt; BTU/Minute </v>
      </c>
      <c r="W351" t="s">
        <v>457</v>
      </c>
      <c r="X351" t="s">
        <v>455</v>
      </c>
      <c r="Y351">
        <v>42.44</v>
      </c>
    </row>
    <row r="352" spans="2:25" ht="15">
      <c r="B352" s="339">
        <v>0.9055</v>
      </c>
      <c r="D352" s="1">
        <v>23</v>
      </c>
      <c r="V352" t="str">
        <f t="shared" si="5"/>
        <v>HorsePower  &lt;&lt;&lt;&gt;&gt;&gt; Foot-lbs/Minute </v>
      </c>
      <c r="W352" t="s">
        <v>457</v>
      </c>
      <c r="X352" t="s">
        <v>664</v>
      </c>
      <c r="Y352">
        <v>33000</v>
      </c>
    </row>
    <row r="353" spans="1:25" ht="15">
      <c r="A353" s="183" t="s">
        <v>146</v>
      </c>
      <c r="B353" s="339">
        <v>0.9062</v>
      </c>
      <c r="V353" t="str">
        <f t="shared" si="5"/>
        <v>HorsePower  &lt;&lt;&lt;&gt;&gt;&gt; Foot-lbs/Second </v>
      </c>
      <c r="W353" t="s">
        <v>457</v>
      </c>
      <c r="X353" t="s">
        <v>456</v>
      </c>
      <c r="Y353">
        <v>550</v>
      </c>
    </row>
    <row r="354" spans="1:25" ht="15">
      <c r="A354" s="183" t="s">
        <v>149</v>
      </c>
      <c r="B354" s="339">
        <v>0.9219</v>
      </c>
      <c r="V354" t="str">
        <f t="shared" si="5"/>
        <v>HorsePower  &lt;&lt;&lt;&gt;&gt;&gt; Kilogram-Calories/Minute </v>
      </c>
      <c r="W354" t="s">
        <v>457</v>
      </c>
      <c r="X354" t="s">
        <v>665</v>
      </c>
      <c r="Y354">
        <v>10.68</v>
      </c>
    </row>
    <row r="355" spans="2:25" ht="15">
      <c r="B355" s="339">
        <v>0.9252</v>
      </c>
      <c r="D355" s="1">
        <v>23.5</v>
      </c>
      <c r="V355" t="str">
        <f t="shared" si="5"/>
        <v>HorsePower  &lt;&lt;&lt;&gt;&gt;&gt; Kilowatts </v>
      </c>
      <c r="W355" t="s">
        <v>457</v>
      </c>
      <c r="X355" t="s">
        <v>458</v>
      </c>
      <c r="Y355">
        <v>0.7457</v>
      </c>
    </row>
    <row r="356" spans="1:25" ht="15">
      <c r="A356" s="183" t="s">
        <v>151</v>
      </c>
      <c r="B356" s="339">
        <v>0.9375</v>
      </c>
      <c r="V356" t="str">
        <f t="shared" si="5"/>
        <v>HorsePower  &lt;&lt;&lt;&gt;&gt;&gt; Watts </v>
      </c>
      <c r="W356" t="s">
        <v>457</v>
      </c>
      <c r="X356" t="s">
        <v>454</v>
      </c>
      <c r="Y356">
        <v>745.7</v>
      </c>
    </row>
    <row r="357" spans="2:25" ht="15">
      <c r="B357" s="339">
        <v>0.9449</v>
      </c>
      <c r="D357" s="1">
        <v>24</v>
      </c>
      <c r="V357" t="str">
        <f t="shared" si="5"/>
        <v>HorsePower (boiler)  &lt;&lt;&lt;&gt;&gt;&gt; BTU/Hour </v>
      </c>
      <c r="W357" t="s">
        <v>666</v>
      </c>
      <c r="X357" t="s">
        <v>451</v>
      </c>
      <c r="Y357">
        <v>33479</v>
      </c>
    </row>
    <row r="358" spans="1:25" ht="15">
      <c r="A358" s="183" t="s">
        <v>153</v>
      </c>
      <c r="B358" s="339">
        <v>0.9531</v>
      </c>
      <c r="V358" t="str">
        <f t="shared" si="5"/>
        <v>HorsePower (boiler)  &lt;&lt;&lt;&gt;&gt;&gt; Kilowatts </v>
      </c>
      <c r="W358" t="s">
        <v>666</v>
      </c>
      <c r="X358" t="s">
        <v>458</v>
      </c>
      <c r="Y358">
        <v>9.803</v>
      </c>
    </row>
    <row r="359" spans="2:25" ht="15">
      <c r="B359" s="339">
        <v>0.9646</v>
      </c>
      <c r="D359" s="1">
        <v>24.5</v>
      </c>
      <c r="V359" t="str">
        <f t="shared" si="5"/>
        <v>HorsePower (metric)  &lt;&lt;&lt;&gt;&gt;&gt; HorsePower </v>
      </c>
      <c r="W359" t="s">
        <v>667</v>
      </c>
      <c r="X359" t="s">
        <v>457</v>
      </c>
      <c r="Y359">
        <v>0.9863</v>
      </c>
    </row>
    <row r="360" spans="1:25" ht="15">
      <c r="A360" s="183" t="s">
        <v>156</v>
      </c>
      <c r="B360" s="339">
        <v>0.9688</v>
      </c>
      <c r="V360" t="str">
        <f t="shared" si="5"/>
        <v>HorsePower-Hours  &lt;&lt;&lt;&gt;&gt;&gt; BTU </v>
      </c>
      <c r="W360" t="s">
        <v>446</v>
      </c>
      <c r="X360" t="s">
        <v>442</v>
      </c>
      <c r="Y360">
        <v>2547</v>
      </c>
    </row>
    <row r="361" spans="2:25" ht="15">
      <c r="B361" s="339">
        <v>0.9843</v>
      </c>
      <c r="D361" s="1">
        <v>25</v>
      </c>
      <c r="V361" t="str">
        <f t="shared" si="5"/>
        <v>HorsePower-Hours  &lt;&lt;&lt;&gt;&gt;&gt; Ergs </v>
      </c>
      <c r="W361" t="s">
        <v>446</v>
      </c>
      <c r="X361" t="s">
        <v>443</v>
      </c>
      <c r="Y361">
        <v>26800000000000</v>
      </c>
    </row>
    <row r="362" spans="1:25" ht="15">
      <c r="A362" s="183" t="s">
        <v>161</v>
      </c>
      <c r="B362" s="339">
        <v>0.9844</v>
      </c>
      <c r="V362" t="str">
        <f t="shared" si="5"/>
        <v>HorsePower-Hours  &lt;&lt;&lt;&gt;&gt;&gt; Foot-lbs </v>
      </c>
      <c r="W362" t="s">
        <v>446</v>
      </c>
      <c r="X362" t="s">
        <v>444</v>
      </c>
      <c r="Y362">
        <v>1980000</v>
      </c>
    </row>
    <row r="363" spans="1:25" ht="15">
      <c r="A363" s="183" t="s">
        <v>163</v>
      </c>
      <c r="B363" s="339">
        <v>1</v>
      </c>
      <c r="V363" t="str">
        <f t="shared" si="5"/>
        <v>HorsePower-Hours  &lt;&lt;&lt;&gt;&gt;&gt; Gram-Calories </v>
      </c>
      <c r="W363" t="s">
        <v>446</v>
      </c>
      <c r="X363" t="s">
        <v>445</v>
      </c>
      <c r="Y363">
        <v>641190</v>
      </c>
    </row>
    <row r="364" spans="2:25" ht="15">
      <c r="B364" s="339">
        <v>1.0039</v>
      </c>
      <c r="D364" s="1">
        <v>25.5</v>
      </c>
      <c r="V364" t="str">
        <f t="shared" si="5"/>
        <v>HorsePower-Hours  &lt;&lt;&lt;&gt;&gt;&gt; Joules </v>
      </c>
      <c r="W364" t="s">
        <v>446</v>
      </c>
      <c r="X364" t="s">
        <v>447</v>
      </c>
      <c r="Y364">
        <v>2684000</v>
      </c>
    </row>
    <row r="365" spans="1:25" ht="15">
      <c r="A365" s="183" t="s">
        <v>166</v>
      </c>
      <c r="B365" s="339">
        <v>1.0156</v>
      </c>
      <c r="V365" t="str">
        <f t="shared" si="5"/>
        <v>HorsePower-Hours  &lt;&lt;&lt;&gt;&gt;&gt; Kilogram-Calories </v>
      </c>
      <c r="W365" t="s">
        <v>446</v>
      </c>
      <c r="X365" t="s">
        <v>448</v>
      </c>
      <c r="Y365">
        <v>641.1</v>
      </c>
    </row>
    <row r="366" spans="2:25" ht="15">
      <c r="B366" s="339">
        <v>1.0236</v>
      </c>
      <c r="D366" s="1">
        <v>26</v>
      </c>
      <c r="V366" t="str">
        <f t="shared" si="5"/>
        <v>HorsePower-Hours  &lt;&lt;&lt;&gt;&gt;&gt; Kilogram-meters </v>
      </c>
      <c r="W366" t="s">
        <v>446</v>
      </c>
      <c r="X366" t="s">
        <v>449</v>
      </c>
      <c r="Y366">
        <v>273700</v>
      </c>
    </row>
    <row r="367" spans="1:25" ht="15">
      <c r="A367" s="183" t="s">
        <v>168</v>
      </c>
      <c r="B367" s="339">
        <v>1.0312</v>
      </c>
      <c r="V367" t="str">
        <f t="shared" si="5"/>
        <v>HorsePower-Hours  &lt;&lt;&lt;&gt;&gt;&gt; Kilowatt-Hours </v>
      </c>
      <c r="W367" t="s">
        <v>446</v>
      </c>
      <c r="X367" t="s">
        <v>450</v>
      </c>
      <c r="Y367">
        <v>0.7457</v>
      </c>
    </row>
    <row r="368" spans="2:25" ht="15">
      <c r="B368" s="339">
        <v>1.0433</v>
      </c>
      <c r="D368" s="1">
        <v>26.5</v>
      </c>
      <c r="V368" t="str">
        <f t="shared" si="5"/>
        <v>Hours (mean solar)  &lt;&lt;&lt;&gt;&gt;&gt; Days </v>
      </c>
      <c r="W368" t="s">
        <v>668</v>
      </c>
      <c r="X368" t="s">
        <v>669</v>
      </c>
      <c r="Y368">
        <v>0.04166667</v>
      </c>
    </row>
    <row r="369" spans="1:25" ht="15">
      <c r="A369" s="183" t="s">
        <v>171</v>
      </c>
      <c r="B369" s="339">
        <v>1.0469</v>
      </c>
      <c r="V369" t="str">
        <f t="shared" si="5"/>
        <v>Hours (mean solar)  &lt;&lt;&lt;&gt;&gt;&gt; Weeks </v>
      </c>
      <c r="W369" t="s">
        <v>668</v>
      </c>
      <c r="X369" t="s">
        <v>670</v>
      </c>
      <c r="Y369">
        <v>0.005952381</v>
      </c>
    </row>
    <row r="370" spans="1:25" ht="15">
      <c r="A370" s="183" t="s">
        <v>173</v>
      </c>
      <c r="B370" s="339">
        <v>1.0625</v>
      </c>
      <c r="V370" t="str">
        <f t="shared" si="5"/>
        <v>Hundredweight (long) &lt;&lt;&lt;&gt;&gt;&gt; Kilograms (kg)</v>
      </c>
      <c r="W370" t="s">
        <v>671</v>
      </c>
      <c r="X370" t="s">
        <v>639</v>
      </c>
      <c r="Y370">
        <v>50.80235</v>
      </c>
    </row>
    <row r="371" spans="2:25" ht="15">
      <c r="B371" s="339">
        <v>1.063</v>
      </c>
      <c r="D371" s="1">
        <v>27</v>
      </c>
      <c r="V371" t="str">
        <f t="shared" si="5"/>
        <v>Hundredweight (short) &lt;&lt;&lt;&gt;&gt;&gt; Kilogram (kg)</v>
      </c>
      <c r="W371" t="s">
        <v>672</v>
      </c>
      <c r="X371" t="s">
        <v>673</v>
      </c>
      <c r="Y371">
        <v>45.35924</v>
      </c>
    </row>
    <row r="372" spans="1:25" ht="15">
      <c r="A372" s="183" t="s">
        <v>176</v>
      </c>
      <c r="B372" s="339">
        <v>1.0781</v>
      </c>
      <c r="V372" t="str">
        <f t="shared" si="5"/>
        <v>Hundredweights (long)  &lt;&lt;&lt;&gt;&gt;&gt; Pounds </v>
      </c>
      <c r="W372" t="s">
        <v>674</v>
      </c>
      <c r="X372" t="s">
        <v>591</v>
      </c>
      <c r="Y372">
        <v>112</v>
      </c>
    </row>
    <row r="373" spans="2:25" ht="15">
      <c r="B373" s="339">
        <v>1.0827</v>
      </c>
      <c r="D373" s="1">
        <v>27.5</v>
      </c>
      <c r="V373" t="str">
        <f t="shared" si="5"/>
        <v>Hundredweights (long)  &lt;&lt;&lt;&gt;&gt;&gt; Tons (long) </v>
      </c>
      <c r="W373" t="s">
        <v>674</v>
      </c>
      <c r="X373" t="s">
        <v>675</v>
      </c>
      <c r="Y373">
        <v>0.05</v>
      </c>
    </row>
    <row r="374" spans="1:25" ht="15">
      <c r="A374" s="183" t="s">
        <v>181</v>
      </c>
      <c r="B374" s="339">
        <v>1.0938</v>
      </c>
      <c r="V374" t="str">
        <f t="shared" si="5"/>
        <v>Hundredweights (short)  &lt;&lt;&lt;&gt;&gt;&gt; Ounces (avoirdupois) </v>
      </c>
      <c r="W374" t="s">
        <v>676</v>
      </c>
      <c r="X374" t="s">
        <v>636</v>
      </c>
      <c r="Y374">
        <v>1600</v>
      </c>
    </row>
    <row r="375" spans="2:25" ht="15">
      <c r="B375" s="339">
        <v>1.1024</v>
      </c>
      <c r="D375" s="1">
        <v>28</v>
      </c>
      <c r="V375" t="str">
        <f t="shared" si="5"/>
        <v>Hundredweights (short)  &lt;&lt;&lt;&gt;&gt;&gt; Pounds </v>
      </c>
      <c r="W375" t="s">
        <v>676</v>
      </c>
      <c r="X375" t="s">
        <v>591</v>
      </c>
      <c r="Y375">
        <v>100</v>
      </c>
    </row>
    <row r="376" spans="1:25" ht="15">
      <c r="A376" s="183" t="s">
        <v>184</v>
      </c>
      <c r="B376" s="339">
        <v>1.1094</v>
      </c>
      <c r="V376" t="str">
        <f t="shared" si="5"/>
        <v>Hundredweights (short)  &lt;&lt;&lt;&gt;&gt;&gt; Tons (long) </v>
      </c>
      <c r="W376" t="s">
        <v>676</v>
      </c>
      <c r="X376" t="s">
        <v>675</v>
      </c>
      <c r="Y376">
        <v>0.0446429</v>
      </c>
    </row>
    <row r="377" spans="2:25" ht="15">
      <c r="B377" s="339">
        <v>1.122</v>
      </c>
      <c r="D377" s="1">
        <v>28.5</v>
      </c>
      <c r="V377" t="str">
        <f t="shared" si="5"/>
        <v>Hundredweights (short)  &lt;&lt;&lt;&gt;&gt;&gt; Tons (metric) </v>
      </c>
      <c r="W377" t="s">
        <v>676</v>
      </c>
      <c r="X377" t="s">
        <v>677</v>
      </c>
      <c r="Y377">
        <v>0.0453592</v>
      </c>
    </row>
    <row r="378" spans="1:25" ht="15">
      <c r="A378" s="183" t="s">
        <v>187</v>
      </c>
      <c r="B378" s="339">
        <v>1.125</v>
      </c>
      <c r="V378" t="str">
        <f t="shared" si="5"/>
        <v>Inches &lt;&lt;&lt;&gt;&gt;&gt; Centimeters</v>
      </c>
      <c r="W378" t="s">
        <v>56</v>
      </c>
      <c r="X378" t="s">
        <v>60</v>
      </c>
      <c r="Y378">
        <v>2.54</v>
      </c>
    </row>
    <row r="379" spans="1:25" ht="15">
      <c r="A379" s="183" t="s">
        <v>190</v>
      </c>
      <c r="B379" s="339">
        <v>1.1406</v>
      </c>
      <c r="V379" t="str">
        <f t="shared" si="5"/>
        <v>Inches &lt;&lt;&lt;&gt;&gt;&gt; Feet</v>
      </c>
      <c r="W379" t="s">
        <v>56</v>
      </c>
      <c r="X379" t="s">
        <v>62</v>
      </c>
      <c r="Y379">
        <v>0.08333333</v>
      </c>
    </row>
    <row r="380" spans="2:25" ht="15">
      <c r="B380" s="339">
        <v>1.1417</v>
      </c>
      <c r="D380" s="1">
        <v>29</v>
      </c>
      <c r="V380" t="str">
        <f t="shared" si="5"/>
        <v>Inches &lt;&lt;&lt;&gt;&gt;&gt; Meters</v>
      </c>
      <c r="W380" t="s">
        <v>56</v>
      </c>
      <c r="X380" t="s">
        <v>64</v>
      </c>
      <c r="Y380">
        <v>0.0254</v>
      </c>
    </row>
    <row r="381" spans="1:25" ht="15">
      <c r="A381" s="183" t="s">
        <v>192</v>
      </c>
      <c r="B381" s="339">
        <v>1.1562</v>
      </c>
      <c r="V381" t="str">
        <f t="shared" si="5"/>
        <v>Inches &lt;&lt;&lt;&gt;&gt;&gt; Miles</v>
      </c>
      <c r="W381" t="s">
        <v>56</v>
      </c>
      <c r="X381" t="s">
        <v>68</v>
      </c>
      <c r="Y381">
        <v>1.578E-05</v>
      </c>
    </row>
    <row r="382" spans="2:25" ht="15">
      <c r="B382" s="339">
        <v>1.1614</v>
      </c>
      <c r="D382" s="1">
        <v>29.5</v>
      </c>
      <c r="V382" t="str">
        <f t="shared" si="5"/>
        <v>Inches &lt;&lt;&lt;&gt;&gt;&gt; Millimeters</v>
      </c>
      <c r="W382" t="s">
        <v>56</v>
      </c>
      <c r="X382" t="s">
        <v>58</v>
      </c>
      <c r="Y382">
        <v>25.4</v>
      </c>
    </row>
    <row r="383" spans="1:25" ht="15">
      <c r="A383" s="183" t="s">
        <v>195</v>
      </c>
      <c r="B383" s="339">
        <v>1.1719</v>
      </c>
      <c r="V383" t="str">
        <f t="shared" si="5"/>
        <v>Inches &lt;&lt;&lt;&gt;&gt;&gt; Mils</v>
      </c>
      <c r="W383" t="s">
        <v>56</v>
      </c>
      <c r="X383" t="s">
        <v>486</v>
      </c>
      <c r="Y383">
        <v>1000</v>
      </c>
    </row>
    <row r="384" spans="2:25" ht="15">
      <c r="B384" s="339">
        <v>1.1811</v>
      </c>
      <c r="D384" s="1">
        <v>30</v>
      </c>
      <c r="V384" t="str">
        <f t="shared" si="5"/>
        <v>Inches &lt;&lt;&lt;&gt;&gt;&gt; Yards</v>
      </c>
      <c r="W384" t="s">
        <v>56</v>
      </c>
      <c r="X384" t="s">
        <v>65</v>
      </c>
      <c r="Y384">
        <v>0.027777778</v>
      </c>
    </row>
    <row r="385" spans="1:25" ht="15">
      <c r="A385" s="183" t="s">
        <v>199</v>
      </c>
      <c r="B385" s="339">
        <v>1.1875</v>
      </c>
      <c r="V385" t="str">
        <f t="shared" si="5"/>
        <v>Inches of Mercury  &lt;&lt;&lt;&gt;&gt;&gt; Atmospheres </v>
      </c>
      <c r="W385" t="s">
        <v>678</v>
      </c>
      <c r="X385" t="s">
        <v>416</v>
      </c>
      <c r="Y385">
        <v>0.03342</v>
      </c>
    </row>
    <row r="386" spans="2:25" ht="15">
      <c r="B386" s="339">
        <v>1.2008</v>
      </c>
      <c r="D386" s="1">
        <v>30.5</v>
      </c>
      <c r="V386" t="str">
        <f t="shared" si="5"/>
        <v>Inches of Mercury  &lt;&lt;&lt;&gt;&gt;&gt; Feet of water </v>
      </c>
      <c r="W386" t="s">
        <v>678</v>
      </c>
      <c r="X386" t="s">
        <v>488</v>
      </c>
      <c r="Y386">
        <v>1.133</v>
      </c>
    </row>
    <row r="387" spans="1:25" ht="15">
      <c r="A387" s="183" t="s">
        <v>203</v>
      </c>
      <c r="B387" s="339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678</v>
      </c>
      <c r="X387" t="s">
        <v>421</v>
      </c>
      <c r="Y387">
        <v>0.03453</v>
      </c>
    </row>
    <row r="388" spans="1:25" ht="15">
      <c r="A388" s="183" t="s">
        <v>205</v>
      </c>
      <c r="B388" s="339">
        <v>1.2188</v>
      </c>
      <c r="V388" t="str">
        <f t="shared" si="6"/>
        <v>Inches of Mercury  &lt;&lt;&lt;&gt;&gt;&gt; Kgs/sq. meter </v>
      </c>
      <c r="W388" t="s">
        <v>678</v>
      </c>
      <c r="X388" t="s">
        <v>423</v>
      </c>
      <c r="Y388">
        <v>345.3</v>
      </c>
    </row>
    <row r="389" spans="2:25" ht="15">
      <c r="B389" s="339">
        <v>1.2205</v>
      </c>
      <c r="D389" s="1">
        <v>31</v>
      </c>
      <c r="V389" t="str">
        <f t="shared" si="6"/>
        <v>Inches of Mercury  &lt;&lt;&lt;&gt;&gt;&gt; Pounds/sq. ft. </v>
      </c>
      <c r="W389" t="s">
        <v>678</v>
      </c>
      <c r="X389" t="s">
        <v>679</v>
      </c>
      <c r="Y389">
        <v>70.73</v>
      </c>
    </row>
    <row r="390" spans="1:25" ht="15">
      <c r="A390" s="183" t="s">
        <v>208</v>
      </c>
      <c r="B390" s="339">
        <v>1.2344</v>
      </c>
      <c r="V390" t="str">
        <f t="shared" si="6"/>
        <v>Inches of Mercury  &lt;&lt;&lt;&gt;&gt;&gt; Pounds/sq. in. </v>
      </c>
      <c r="W390" t="s">
        <v>678</v>
      </c>
      <c r="X390" t="s">
        <v>680</v>
      </c>
      <c r="Y390">
        <v>0.4912</v>
      </c>
    </row>
    <row r="391" spans="2:25" ht="15">
      <c r="B391" s="339">
        <v>1.2402</v>
      </c>
      <c r="D391" s="1">
        <v>31.5</v>
      </c>
      <c r="V391" t="str">
        <f t="shared" si="6"/>
        <v>Inches of water (at 4øC) &lt;&lt;&lt;&gt;&gt;&gt; Atmospheres </v>
      </c>
      <c r="W391" t="s">
        <v>681</v>
      </c>
      <c r="X391" t="s">
        <v>416</v>
      </c>
      <c r="Y391">
        <v>0.002458</v>
      </c>
    </row>
    <row r="392" spans="1:25" ht="15">
      <c r="A392" s="183" t="s">
        <v>210</v>
      </c>
      <c r="B392" s="339">
        <v>1.25</v>
      </c>
      <c r="V392" t="str">
        <f t="shared" si="6"/>
        <v>Inches of water (at 4øC) &lt;&lt;&lt;&gt;&gt;&gt; Inches of Mercury </v>
      </c>
      <c r="W392" t="s">
        <v>681</v>
      </c>
      <c r="X392" t="s">
        <v>678</v>
      </c>
      <c r="Y392">
        <v>0.07355</v>
      </c>
    </row>
    <row r="393" spans="2:25" ht="15">
      <c r="B393" s="339">
        <v>1.2598</v>
      </c>
      <c r="D393" s="1">
        <v>32</v>
      </c>
      <c r="V393" t="str">
        <f t="shared" si="6"/>
        <v>Inches of water (at 4øC) &lt;&lt;&lt;&gt;&gt;&gt; Kgs/sq. cm </v>
      </c>
      <c r="W393" t="s">
        <v>681</v>
      </c>
      <c r="X393" t="s">
        <v>421</v>
      </c>
      <c r="Y393">
        <v>0.00254</v>
      </c>
    </row>
    <row r="394" spans="1:25" ht="15">
      <c r="A394" s="183" t="s">
        <v>213</v>
      </c>
      <c r="B394" s="339">
        <v>1.2656</v>
      </c>
      <c r="V394" t="str">
        <f t="shared" si="6"/>
        <v>Inches of water (at 4øC) &lt;&lt;&lt;&gt;&gt;&gt; Ounces/sq. Inch </v>
      </c>
      <c r="W394" t="s">
        <v>681</v>
      </c>
      <c r="X394" t="s">
        <v>682</v>
      </c>
      <c r="Y394">
        <v>0.5781</v>
      </c>
    </row>
    <row r="395" spans="2:25" ht="15">
      <c r="B395" s="339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681</v>
      </c>
      <c r="X395" t="s">
        <v>438</v>
      </c>
      <c r="Y395">
        <v>5.204</v>
      </c>
    </row>
    <row r="396" spans="1:25" ht="15">
      <c r="A396" s="183" t="s">
        <v>217</v>
      </c>
      <c r="B396" s="339">
        <v>1.2812</v>
      </c>
      <c r="V396" t="str">
        <f t="shared" si="6"/>
        <v>Inches of water (at 4øC) &lt;&lt;&lt;&gt;&gt;&gt; Pounds/sq. Inch </v>
      </c>
      <c r="W396" t="s">
        <v>681</v>
      </c>
      <c r="X396" t="s">
        <v>424</v>
      </c>
      <c r="Y396">
        <v>0.03613</v>
      </c>
    </row>
    <row r="397" spans="1:25" ht="15">
      <c r="A397" s="183" t="s">
        <v>219</v>
      </c>
      <c r="B397" s="339">
        <v>1.2969</v>
      </c>
      <c r="V397" t="str">
        <f t="shared" si="6"/>
        <v>Inches per Minute &lt;&lt;&lt;&gt;&gt;&gt; Centimeters per Minute</v>
      </c>
      <c r="W397" t="s">
        <v>490</v>
      </c>
      <c r="X397" t="s">
        <v>489</v>
      </c>
      <c r="Y397">
        <v>2.54</v>
      </c>
    </row>
    <row r="398" spans="2:25" ht="15">
      <c r="B398" s="339">
        <v>1.2992</v>
      </c>
      <c r="D398" s="1">
        <v>33</v>
      </c>
      <c r="V398" t="str">
        <f t="shared" si="6"/>
        <v>Inches per Minute &lt;&lt;&lt;&gt;&gt;&gt; Meters per Minute</v>
      </c>
      <c r="W398" t="s">
        <v>490</v>
      </c>
      <c r="X398" t="s">
        <v>607</v>
      </c>
      <c r="Y398">
        <v>0.0254</v>
      </c>
    </row>
    <row r="399" spans="1:25" ht="15">
      <c r="A399" s="183" t="s">
        <v>222</v>
      </c>
      <c r="B399" s="339">
        <v>1.3125</v>
      </c>
      <c r="V399" t="str">
        <f t="shared" si="6"/>
        <v>Inches per Minute &lt;&lt;&lt;&gt;&gt;&gt; Millimeters per Minute</v>
      </c>
      <c r="W399" t="s">
        <v>490</v>
      </c>
      <c r="X399" t="s">
        <v>683</v>
      </c>
      <c r="Y399">
        <v>25.4</v>
      </c>
    </row>
    <row r="400" spans="2:25" ht="15">
      <c r="B400" s="339">
        <v>1.3189</v>
      </c>
      <c r="D400" s="1">
        <v>33.5</v>
      </c>
      <c r="V400" t="str">
        <f t="shared" si="6"/>
        <v>international Ampere  &lt;&lt;&lt;&gt;&gt;&gt; Ampere (absolute) </v>
      </c>
      <c r="W400" t="s">
        <v>684</v>
      </c>
      <c r="X400" t="s">
        <v>599</v>
      </c>
      <c r="Y400">
        <v>0.9998</v>
      </c>
    </row>
    <row r="401" spans="1:25" ht="15">
      <c r="A401" s="183" t="s">
        <v>224</v>
      </c>
      <c r="B401" s="339">
        <v>1.3281</v>
      </c>
      <c r="V401" t="str">
        <f t="shared" si="6"/>
        <v>international Volt  &lt;&lt;&lt;&gt;&gt;&gt; Joules </v>
      </c>
      <c r="W401" t="s">
        <v>685</v>
      </c>
      <c r="X401" t="s">
        <v>447</v>
      </c>
      <c r="Y401">
        <v>96540</v>
      </c>
    </row>
    <row r="402" spans="2:25" ht="15">
      <c r="B402" s="339">
        <v>1.3386</v>
      </c>
      <c r="D402" s="1">
        <v>34</v>
      </c>
      <c r="V402" t="str">
        <f t="shared" si="6"/>
        <v>international Volt  &lt;&lt;&lt;&gt;&gt;&gt; Joules (absolute) </v>
      </c>
      <c r="W402" t="s">
        <v>685</v>
      </c>
      <c r="X402" t="s">
        <v>686</v>
      </c>
      <c r="Y402">
        <v>1.59E-19</v>
      </c>
    </row>
    <row r="403" spans="1:25" ht="15">
      <c r="A403" s="183" t="s">
        <v>228</v>
      </c>
      <c r="B403" s="339">
        <v>1.3438</v>
      </c>
      <c r="V403" t="str">
        <f t="shared" si="6"/>
        <v>Joules  &lt;&lt;&lt;&gt;&gt;&gt; BTU </v>
      </c>
      <c r="W403" t="s">
        <v>447</v>
      </c>
      <c r="X403" t="s">
        <v>442</v>
      </c>
      <c r="Y403">
        <v>0.000948</v>
      </c>
    </row>
    <row r="404" spans="2:25" ht="15">
      <c r="B404" s="339">
        <v>1.3583</v>
      </c>
      <c r="D404" s="1">
        <v>34.5</v>
      </c>
      <c r="V404" t="str">
        <f t="shared" si="6"/>
        <v>Joules  &lt;&lt;&lt;&gt;&gt;&gt; Ergs </v>
      </c>
      <c r="W404" t="s">
        <v>447</v>
      </c>
      <c r="X404" t="s">
        <v>443</v>
      </c>
      <c r="Y404">
        <v>10000000</v>
      </c>
    </row>
    <row r="405" spans="1:25" ht="15">
      <c r="A405" s="183" t="s">
        <v>232</v>
      </c>
      <c r="B405" s="339">
        <v>1.3594</v>
      </c>
      <c r="V405" t="str">
        <f t="shared" si="6"/>
        <v>Joules  &lt;&lt;&lt;&gt;&gt;&gt; Foot-pounds </v>
      </c>
      <c r="W405" t="s">
        <v>447</v>
      </c>
      <c r="X405" t="s">
        <v>614</v>
      </c>
      <c r="Y405">
        <v>0.7376</v>
      </c>
    </row>
    <row r="406" spans="1:25" ht="15">
      <c r="A406" s="183" t="s">
        <v>234</v>
      </c>
      <c r="B406" s="339">
        <v>1.375</v>
      </c>
      <c r="V406" t="str">
        <f t="shared" si="6"/>
        <v>Joules  &lt;&lt;&lt;&gt;&gt;&gt; Kilogram-Calories </v>
      </c>
      <c r="W406" t="s">
        <v>447</v>
      </c>
      <c r="X406" t="s">
        <v>448</v>
      </c>
      <c r="Y406">
        <v>0.0002389</v>
      </c>
    </row>
    <row r="407" spans="2:25" ht="15">
      <c r="B407" s="339">
        <v>1.378</v>
      </c>
      <c r="D407" s="1">
        <v>35</v>
      </c>
      <c r="V407" t="str">
        <f t="shared" si="6"/>
        <v>Joules  &lt;&lt;&lt;&gt;&gt;&gt; Kilogram-meters </v>
      </c>
      <c r="W407" t="s">
        <v>447</v>
      </c>
      <c r="X407" t="s">
        <v>449</v>
      </c>
      <c r="Y407">
        <v>0.102</v>
      </c>
    </row>
    <row r="408" spans="1:25" ht="15">
      <c r="A408" s="183" t="s">
        <v>237</v>
      </c>
      <c r="B408" s="339">
        <v>1.3906</v>
      </c>
      <c r="V408" t="str">
        <f t="shared" si="6"/>
        <v>Joules  &lt;&lt;&lt;&gt;&gt;&gt; Poundals </v>
      </c>
      <c r="W408" t="s">
        <v>447</v>
      </c>
      <c r="X408" t="s">
        <v>590</v>
      </c>
      <c r="Y408">
        <v>723.3</v>
      </c>
    </row>
    <row r="409" spans="2:25" ht="15">
      <c r="B409" s="339">
        <v>1.3976</v>
      </c>
      <c r="D409" s="1">
        <v>35.5</v>
      </c>
      <c r="V409" t="str">
        <f t="shared" si="6"/>
        <v>Joules  &lt;&lt;&lt;&gt;&gt;&gt; Pounds </v>
      </c>
      <c r="W409" t="s">
        <v>447</v>
      </c>
      <c r="X409" t="s">
        <v>591</v>
      </c>
      <c r="Y409">
        <v>22.48</v>
      </c>
    </row>
    <row r="410" spans="1:25" ht="15">
      <c r="A410" s="183" t="s">
        <v>240</v>
      </c>
      <c r="B410" s="339">
        <v>1.4062</v>
      </c>
      <c r="V410" t="str">
        <f t="shared" si="6"/>
        <v>Joules  &lt;&lt;&lt;&gt;&gt;&gt; Watt-Hours </v>
      </c>
      <c r="W410" t="s">
        <v>447</v>
      </c>
      <c r="X410" t="s">
        <v>596</v>
      </c>
      <c r="Y410">
        <v>0.0002778</v>
      </c>
    </row>
    <row r="411" spans="2:25" ht="15">
      <c r="B411" s="339">
        <v>1.4173</v>
      </c>
      <c r="D411" s="1">
        <v>36</v>
      </c>
      <c r="V411" t="str">
        <f t="shared" si="6"/>
        <v>Joules/Centimeter &lt;&lt;&lt;&gt;&gt;&gt; Dynes</v>
      </c>
      <c r="W411" t="s">
        <v>584</v>
      </c>
      <c r="X411" t="s">
        <v>583</v>
      </c>
      <c r="Y411">
        <v>10000000</v>
      </c>
    </row>
    <row r="412" spans="1:25" ht="15">
      <c r="A412" s="183" t="s">
        <v>243</v>
      </c>
      <c r="B412" s="339">
        <v>1.4219</v>
      </c>
      <c r="V412" t="str">
        <f t="shared" si="6"/>
        <v>Joules/Centimeters  &lt;&lt;&lt;&gt;&gt;&gt; dynes </v>
      </c>
      <c r="W412" t="s">
        <v>687</v>
      </c>
      <c r="X412" t="s">
        <v>688</v>
      </c>
      <c r="Y412">
        <v>10000000</v>
      </c>
    </row>
    <row r="413" spans="2:25" ht="15">
      <c r="B413" s="339">
        <v>1.437</v>
      </c>
      <c r="D413" s="1">
        <v>36.5</v>
      </c>
      <c r="V413" t="str">
        <f t="shared" si="6"/>
        <v>Joules/Centimeters  &lt;&lt;&lt;&gt;&gt;&gt; Grams </v>
      </c>
      <c r="W413" t="s">
        <v>687</v>
      </c>
      <c r="X413" t="s">
        <v>479</v>
      </c>
      <c r="Y413">
        <v>10200</v>
      </c>
    </row>
    <row r="414" spans="1:25" ht="15">
      <c r="A414" s="183" t="s">
        <v>245</v>
      </c>
      <c r="B414" s="339">
        <v>1.4375</v>
      </c>
      <c r="V414" t="str">
        <f t="shared" si="6"/>
        <v>Joules/Centimeters  &lt;&lt;&lt;&gt;&gt;&gt; Joules/Meter (newton) </v>
      </c>
      <c r="W414" t="s">
        <v>687</v>
      </c>
      <c r="X414" t="s">
        <v>689</v>
      </c>
      <c r="Y414">
        <v>100</v>
      </c>
    </row>
    <row r="415" spans="1:25" ht="15">
      <c r="A415" s="183" t="s">
        <v>250</v>
      </c>
      <c r="B415" s="339">
        <v>1.4531</v>
      </c>
      <c r="V415" t="str">
        <f t="shared" si="6"/>
        <v>Kilograms &lt;&lt;&lt;&gt;&gt;&gt; Dynes</v>
      </c>
      <c r="W415" t="s">
        <v>82</v>
      </c>
      <c r="X415" t="s">
        <v>583</v>
      </c>
      <c r="Y415">
        <v>980665</v>
      </c>
    </row>
    <row r="416" spans="2:25" ht="15">
      <c r="B416" s="339">
        <v>1.4567</v>
      </c>
      <c r="D416" s="1">
        <v>37</v>
      </c>
      <c r="V416" t="str">
        <f t="shared" si="6"/>
        <v>Kilograms &lt;&lt;&lt;&gt;&gt;&gt; Grams (g)</v>
      </c>
      <c r="W416" t="s">
        <v>82</v>
      </c>
      <c r="X416" t="s">
        <v>690</v>
      </c>
      <c r="Y416">
        <v>1000</v>
      </c>
    </row>
    <row r="417" spans="1:25" ht="15">
      <c r="A417" s="183" t="s">
        <v>253</v>
      </c>
      <c r="B417" s="339">
        <v>1.4688</v>
      </c>
      <c r="V417" t="str">
        <f t="shared" si="6"/>
        <v>Kilograms &lt;&lt;&lt;&gt;&gt;&gt; Hundredweight (long)</v>
      </c>
      <c r="W417" t="s">
        <v>82</v>
      </c>
      <c r="X417" t="s">
        <v>671</v>
      </c>
      <c r="Y417">
        <v>0.01968413</v>
      </c>
    </row>
    <row r="418" spans="2:25" ht="15">
      <c r="B418" s="339">
        <v>1.4764</v>
      </c>
      <c r="D418" s="1">
        <v>37.5</v>
      </c>
      <c r="V418" t="str">
        <f t="shared" si="6"/>
        <v>Kilograms &lt;&lt;&lt;&gt;&gt;&gt; Hundredweight (short)</v>
      </c>
      <c r="W418" t="s">
        <v>82</v>
      </c>
      <c r="X418" t="s">
        <v>672</v>
      </c>
      <c r="Y418">
        <v>0.02204622</v>
      </c>
    </row>
    <row r="419" spans="1:25" ht="15">
      <c r="A419" s="183" t="s">
        <v>255</v>
      </c>
      <c r="B419" s="339">
        <v>1.4844</v>
      </c>
      <c r="V419" t="str">
        <f t="shared" si="6"/>
        <v>Kilograms &lt;&lt;&lt;&gt;&gt;&gt; Ounces (avoirdupois)</v>
      </c>
      <c r="W419" t="s">
        <v>82</v>
      </c>
      <c r="X419" t="s">
        <v>640</v>
      </c>
      <c r="Y419">
        <v>35.27397</v>
      </c>
    </row>
    <row r="420" spans="2:25" ht="15">
      <c r="B420" s="339">
        <v>1.4961</v>
      </c>
      <c r="D420" s="1">
        <v>38</v>
      </c>
      <c r="V420" t="str">
        <f t="shared" si="6"/>
        <v>Kilograms &lt;&lt;&lt;&gt;&gt;&gt; Ounces (troy)</v>
      </c>
      <c r="W420" t="s">
        <v>82</v>
      </c>
      <c r="X420" t="s">
        <v>641</v>
      </c>
      <c r="Y420">
        <v>32.15074</v>
      </c>
    </row>
    <row r="421" spans="1:25" ht="15">
      <c r="A421" s="183" t="s">
        <v>258</v>
      </c>
      <c r="B421" s="339">
        <v>1.5</v>
      </c>
      <c r="V421" t="str">
        <f t="shared" si="6"/>
        <v>Kilograms &lt;&lt;&lt;&gt;&gt;&gt; Pounds (avoirdupois)</v>
      </c>
      <c r="W421" t="s">
        <v>82</v>
      </c>
      <c r="X421" t="s">
        <v>691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82</v>
      </c>
      <c r="X422" t="s">
        <v>692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82</v>
      </c>
      <c r="X423" t="s">
        <v>693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82</v>
      </c>
      <c r="X424" t="s">
        <v>694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82</v>
      </c>
      <c r="X425" t="s">
        <v>695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82</v>
      </c>
      <c r="X426" t="s">
        <v>696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589</v>
      </c>
      <c r="X427" t="s">
        <v>588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589</v>
      </c>
      <c r="X428" t="s">
        <v>479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589</v>
      </c>
      <c r="X429" t="s">
        <v>697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589</v>
      </c>
      <c r="X430" t="s">
        <v>698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589</v>
      </c>
      <c r="X431" t="s">
        <v>590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589</v>
      </c>
      <c r="X432" t="s">
        <v>591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589</v>
      </c>
      <c r="X433" t="s">
        <v>675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589</v>
      </c>
      <c r="X434" t="s">
        <v>699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700</v>
      </c>
      <c r="X435" t="s">
        <v>701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700</v>
      </c>
      <c r="X436" t="s">
        <v>702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700</v>
      </c>
      <c r="X437" t="s">
        <v>703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704</v>
      </c>
      <c r="X438" t="s">
        <v>705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704</v>
      </c>
      <c r="X439" t="s">
        <v>706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704</v>
      </c>
      <c r="X440" t="s">
        <v>707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704</v>
      </c>
      <c r="X441" t="s">
        <v>708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704</v>
      </c>
      <c r="X442" t="s">
        <v>709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704</v>
      </c>
      <c r="X443" t="s">
        <v>710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711</v>
      </c>
      <c r="X444" t="s">
        <v>712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713</v>
      </c>
      <c r="X445" t="s">
        <v>583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714</v>
      </c>
      <c r="X446" t="s">
        <v>709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714</v>
      </c>
      <c r="X447" t="s">
        <v>710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715</v>
      </c>
      <c r="X448" t="s">
        <v>716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717</v>
      </c>
      <c r="X449" t="s">
        <v>586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718</v>
      </c>
      <c r="X450" t="s">
        <v>464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719</v>
      </c>
      <c r="X451" t="s">
        <v>720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719</v>
      </c>
      <c r="X452" t="s">
        <v>721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719</v>
      </c>
      <c r="X453" t="s">
        <v>722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719</v>
      </c>
      <c r="X454" t="s">
        <v>723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719</v>
      </c>
      <c r="X455" t="s">
        <v>724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719</v>
      </c>
      <c r="X456" t="s">
        <v>725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719</v>
      </c>
      <c r="X457" t="s">
        <v>726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719</v>
      </c>
      <c r="X458" t="s">
        <v>727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719</v>
      </c>
      <c r="X459" t="s">
        <v>728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729</v>
      </c>
      <c r="X460" t="s">
        <v>730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498</v>
      </c>
      <c r="X461" t="s">
        <v>495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498</v>
      </c>
      <c r="X462" t="s">
        <v>496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498</v>
      </c>
      <c r="X463" t="s">
        <v>497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498</v>
      </c>
      <c r="X464" t="s">
        <v>499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498</v>
      </c>
      <c r="X465" t="s">
        <v>500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498</v>
      </c>
      <c r="X466" t="s">
        <v>501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505</v>
      </c>
      <c r="X467" t="s">
        <v>731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505</v>
      </c>
      <c r="X468" t="s">
        <v>504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505</v>
      </c>
      <c r="X469" t="s">
        <v>506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505</v>
      </c>
      <c r="X470" t="s">
        <v>507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732</v>
      </c>
      <c r="X471" t="s">
        <v>586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450</v>
      </c>
      <c r="X472" t="s">
        <v>442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450</v>
      </c>
      <c r="X473" t="s">
        <v>443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450</v>
      </c>
      <c r="X474" t="s">
        <v>444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450</v>
      </c>
      <c r="X475" t="s">
        <v>445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450</v>
      </c>
      <c r="X476" t="s">
        <v>446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450</v>
      </c>
      <c r="X477" t="s">
        <v>447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450</v>
      </c>
      <c r="X478" t="s">
        <v>448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450</v>
      </c>
      <c r="X479" t="s">
        <v>449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450</v>
      </c>
      <c r="X480" t="s">
        <v>733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450</v>
      </c>
      <c r="X481" t="s">
        <v>734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458</v>
      </c>
      <c r="X482" t="s">
        <v>455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458</v>
      </c>
      <c r="X483" t="s">
        <v>664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458</v>
      </c>
      <c r="X484" t="s">
        <v>456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458</v>
      </c>
      <c r="X485" t="s">
        <v>457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458</v>
      </c>
      <c r="X486" t="s">
        <v>665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458</v>
      </c>
      <c r="X487" t="s">
        <v>454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499</v>
      </c>
      <c r="X488" t="s">
        <v>735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499</v>
      </c>
      <c r="X489" t="s">
        <v>497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499</v>
      </c>
      <c r="X490" t="s">
        <v>498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499</v>
      </c>
      <c r="X491" t="s">
        <v>736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499</v>
      </c>
      <c r="X492" t="s">
        <v>737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499</v>
      </c>
      <c r="X493" t="s">
        <v>738</v>
      </c>
      <c r="Y493">
        <v>2027</v>
      </c>
    </row>
    <row r="494" spans="22:25" ht="15">
      <c r="V494" t="str">
        <f t="shared" si="7"/>
        <v>League &lt;&lt;&lt;&gt;&gt;&gt; Miles</v>
      </c>
      <c r="W494" t="s">
        <v>739</v>
      </c>
      <c r="X494" t="s">
        <v>68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740</v>
      </c>
      <c r="X495" t="s">
        <v>719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740</v>
      </c>
      <c r="X496" t="s">
        <v>741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742</v>
      </c>
      <c r="X497" t="s">
        <v>723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743</v>
      </c>
      <c r="X498" t="s">
        <v>723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464</v>
      </c>
      <c r="X499" t="s">
        <v>744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464</v>
      </c>
      <c r="X500" t="s">
        <v>632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464</v>
      </c>
      <c r="X501" t="s">
        <v>402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464</v>
      </c>
      <c r="X502" t="s">
        <v>462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464</v>
      </c>
      <c r="X503" t="s">
        <v>463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464</v>
      </c>
      <c r="X504" t="s">
        <v>531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464</v>
      </c>
      <c r="X505" t="s">
        <v>550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464</v>
      </c>
      <c r="X506" t="s">
        <v>745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464</v>
      </c>
      <c r="X507" t="s">
        <v>746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464</v>
      </c>
      <c r="X508" t="s">
        <v>747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537</v>
      </c>
      <c r="X509" t="s">
        <v>535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537</v>
      </c>
      <c r="X510" t="s">
        <v>748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621</v>
      </c>
      <c r="X511" t="s">
        <v>748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749</v>
      </c>
      <c r="X512" t="s">
        <v>543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749</v>
      </c>
      <c r="X513" t="s">
        <v>540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750</v>
      </c>
      <c r="X514" t="s">
        <v>751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750</v>
      </c>
      <c r="X515" t="s">
        <v>752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753</v>
      </c>
      <c r="X516" t="s">
        <v>754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753</v>
      </c>
      <c r="X517" t="s">
        <v>755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756</v>
      </c>
      <c r="X518" t="s">
        <v>754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756</v>
      </c>
      <c r="X519" t="s">
        <v>613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757</v>
      </c>
      <c r="X520" t="s">
        <v>754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758</v>
      </c>
      <c r="X521" t="s">
        <v>759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758</v>
      </c>
      <c r="X522" t="s">
        <v>760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725</v>
      </c>
      <c r="X523" t="s">
        <v>761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725</v>
      </c>
      <c r="X524" t="s">
        <v>62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725</v>
      </c>
      <c r="X525" t="s">
        <v>723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725</v>
      </c>
      <c r="X526" t="s">
        <v>719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725</v>
      </c>
      <c r="X527" t="s">
        <v>762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725</v>
      </c>
      <c r="X528" t="s">
        <v>763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725</v>
      </c>
      <c r="X529" t="s">
        <v>727</v>
      </c>
      <c r="Y529">
        <v>1000</v>
      </c>
    </row>
    <row r="530" spans="22:25" ht="15">
      <c r="V530" t="str">
        <f t="shared" si="8"/>
        <v>Meters  &lt;&lt;&lt;&gt;&gt;&gt; Rods</v>
      </c>
      <c r="W530" t="s">
        <v>725</v>
      </c>
      <c r="X530" t="s">
        <v>618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725</v>
      </c>
      <c r="X531" t="s">
        <v>728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764</v>
      </c>
      <c r="X532" t="s">
        <v>735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764</v>
      </c>
      <c r="X533" t="s">
        <v>765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766</v>
      </c>
      <c r="X534" t="s">
        <v>767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500</v>
      </c>
      <c r="X535" t="s">
        <v>495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500</v>
      </c>
      <c r="X536" t="s">
        <v>496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500</v>
      </c>
      <c r="X537" t="s">
        <v>497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500</v>
      </c>
      <c r="X538" t="s">
        <v>498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500</v>
      </c>
      <c r="X539" t="s">
        <v>499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500</v>
      </c>
      <c r="X540" t="s">
        <v>501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768</v>
      </c>
      <c r="X541" t="s">
        <v>735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768</v>
      </c>
      <c r="X542" t="s">
        <v>496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768</v>
      </c>
      <c r="X543" t="s">
        <v>497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768</v>
      </c>
      <c r="X544" t="s">
        <v>498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768</v>
      </c>
      <c r="X545" t="s">
        <v>769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768</v>
      </c>
      <c r="X546" t="s">
        <v>501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768</v>
      </c>
      <c r="X547" t="s">
        <v>502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610</v>
      </c>
      <c r="X548" t="s">
        <v>503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610</v>
      </c>
      <c r="X549" t="s">
        <v>504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610</v>
      </c>
      <c r="X550" t="s">
        <v>505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610</v>
      </c>
      <c r="X551" t="s">
        <v>507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770</v>
      </c>
      <c r="X552" t="s">
        <v>479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759</v>
      </c>
      <c r="X553" t="s">
        <v>758</v>
      </c>
      <c r="Y553">
        <v>1E-12</v>
      </c>
    </row>
    <row r="554" spans="22:25" ht="15">
      <c r="V554" t="str">
        <f t="shared" si="8"/>
        <v>Microhms  &lt;&lt;&lt;&gt;&gt;&gt; Ohms </v>
      </c>
      <c r="W554" t="s">
        <v>759</v>
      </c>
      <c r="X554" t="s">
        <v>760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771</v>
      </c>
      <c r="X555" t="s">
        <v>464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772</v>
      </c>
      <c r="X556" t="s">
        <v>725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762</v>
      </c>
      <c r="X557" t="s">
        <v>722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762</v>
      </c>
      <c r="X558" t="s">
        <v>719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762</v>
      </c>
      <c r="X559" t="s">
        <v>725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762</v>
      </c>
      <c r="X560" t="s">
        <v>763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762</v>
      </c>
      <c r="X561" t="s">
        <v>728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763</v>
      </c>
      <c r="X562" t="s">
        <v>721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763</v>
      </c>
      <c r="X563" t="s">
        <v>722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763</v>
      </c>
      <c r="X564" t="s">
        <v>723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763</v>
      </c>
      <c r="X565" t="s">
        <v>719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763</v>
      </c>
      <c r="X566" t="s">
        <v>725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763</v>
      </c>
      <c r="X567" t="s">
        <v>762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763</v>
      </c>
      <c r="X568" t="s">
        <v>728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501</v>
      </c>
      <c r="X569" t="s">
        <v>495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501</v>
      </c>
      <c r="X570" t="s">
        <v>496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501</v>
      </c>
      <c r="X571" t="s">
        <v>497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501</v>
      </c>
      <c r="X572" t="s">
        <v>498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501</v>
      </c>
      <c r="X573" t="s">
        <v>769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501</v>
      </c>
      <c r="X574" t="s">
        <v>499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501</v>
      </c>
      <c r="X575" t="s">
        <v>500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501</v>
      </c>
      <c r="X576" t="s">
        <v>502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507</v>
      </c>
      <c r="X577" t="s">
        <v>503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507</v>
      </c>
      <c r="X578" t="s">
        <v>504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507</v>
      </c>
      <c r="X579" t="s">
        <v>505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507</v>
      </c>
      <c r="X580" t="s">
        <v>506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502</v>
      </c>
      <c r="X581" t="s">
        <v>495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502</v>
      </c>
      <c r="X582" t="s">
        <v>497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502</v>
      </c>
      <c r="X583" t="s">
        <v>769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502</v>
      </c>
      <c r="X584" t="s">
        <v>773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502</v>
      </c>
      <c r="X585" t="s">
        <v>501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774</v>
      </c>
      <c r="X586" t="s">
        <v>589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646</v>
      </c>
      <c r="X587" t="s">
        <v>566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646</v>
      </c>
      <c r="X588" t="s">
        <v>479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775</v>
      </c>
      <c r="X589" t="s">
        <v>464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727</v>
      </c>
      <c r="X590" t="s">
        <v>721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727</v>
      </c>
      <c r="X591" t="s">
        <v>722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727</v>
      </c>
      <c r="X592" t="s">
        <v>723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727</v>
      </c>
      <c r="X593" t="s">
        <v>719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727</v>
      </c>
      <c r="X594" t="s">
        <v>725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727</v>
      </c>
      <c r="X595" t="s">
        <v>741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727</v>
      </c>
      <c r="X596" t="s">
        <v>776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727</v>
      </c>
      <c r="X597" t="s">
        <v>728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777</v>
      </c>
      <c r="X598" t="s">
        <v>767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778</v>
      </c>
      <c r="X599" t="s">
        <v>725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776</v>
      </c>
      <c r="X600" t="s">
        <v>721</v>
      </c>
      <c r="Y600">
        <v>0.00254</v>
      </c>
    </row>
    <row r="601" spans="22:25" ht="15">
      <c r="V601" t="str">
        <f t="shared" si="9"/>
        <v>Mils  &lt;&lt;&lt;&gt;&gt;&gt; Feet </v>
      </c>
      <c r="W601" t="s">
        <v>776</v>
      </c>
      <c r="X601" t="s">
        <v>722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776</v>
      </c>
      <c r="X602" t="s">
        <v>723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776</v>
      </c>
      <c r="X603" t="s">
        <v>719</v>
      </c>
      <c r="Y603">
        <v>0.00254</v>
      </c>
    </row>
    <row r="604" spans="22:25" ht="15">
      <c r="V604" t="str">
        <f t="shared" si="9"/>
        <v>Mils  &lt;&lt;&lt;&gt;&gt;&gt; Yards </v>
      </c>
      <c r="W604" t="s">
        <v>776</v>
      </c>
      <c r="X604" t="s">
        <v>728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779</v>
      </c>
      <c r="X605" t="s">
        <v>780</v>
      </c>
      <c r="Y605">
        <v>60</v>
      </c>
    </row>
    <row r="606" spans="22:25" ht="15">
      <c r="V606" t="str">
        <f t="shared" si="9"/>
        <v>Newtons (N) &lt;&lt;&lt;&gt;&gt;&gt; Dynes</v>
      </c>
      <c r="W606" t="s">
        <v>586</v>
      </c>
      <c r="X606" t="s">
        <v>583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586</v>
      </c>
      <c r="X607" t="s">
        <v>781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586</v>
      </c>
      <c r="X608" t="s">
        <v>732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586</v>
      </c>
      <c r="X609" t="s">
        <v>782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586</v>
      </c>
      <c r="X610" t="s">
        <v>783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586</v>
      </c>
      <c r="X611" t="s">
        <v>784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785</v>
      </c>
      <c r="X612" t="s">
        <v>786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785</v>
      </c>
      <c r="X613" t="s">
        <v>787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788</v>
      </c>
      <c r="X614" t="s">
        <v>789</v>
      </c>
      <c r="Y614">
        <v>1.0005</v>
      </c>
    </row>
    <row r="615" spans="22:25" ht="15">
      <c r="V615" t="str">
        <f t="shared" si="9"/>
        <v>Ohms  &lt;&lt;&lt;&gt;&gt;&gt; Megohms </v>
      </c>
      <c r="W615" t="s">
        <v>760</v>
      </c>
      <c r="X615" t="s">
        <v>758</v>
      </c>
      <c r="Y615">
        <v>1E-06</v>
      </c>
    </row>
    <row r="616" spans="22:25" ht="15">
      <c r="V616" t="str">
        <f t="shared" si="9"/>
        <v>Ohms  &lt;&lt;&lt;&gt;&gt;&gt; Microhms </v>
      </c>
      <c r="W616" t="s">
        <v>760</v>
      </c>
      <c r="X616" t="s">
        <v>759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567</v>
      </c>
      <c r="X617" t="s">
        <v>565</v>
      </c>
      <c r="Y617">
        <v>16</v>
      </c>
    </row>
    <row r="618" spans="22:25" ht="15">
      <c r="V618" t="str">
        <f t="shared" si="9"/>
        <v>Ounces  &lt;&lt;&lt;&gt;&gt;&gt; Grains </v>
      </c>
      <c r="W618" t="s">
        <v>567</v>
      </c>
      <c r="X618" t="s">
        <v>566</v>
      </c>
      <c r="Y618">
        <v>437.5</v>
      </c>
    </row>
    <row r="619" spans="22:25" ht="15">
      <c r="V619" t="str">
        <f t="shared" si="9"/>
        <v>Ounces  &lt;&lt;&lt;&gt;&gt;&gt; Grams </v>
      </c>
      <c r="W619" t="s">
        <v>567</v>
      </c>
      <c r="X619" t="s">
        <v>479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567</v>
      </c>
      <c r="X620" t="s">
        <v>569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567</v>
      </c>
      <c r="X621" t="s">
        <v>591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567</v>
      </c>
      <c r="X622" t="s">
        <v>675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567</v>
      </c>
      <c r="X623" t="s">
        <v>677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640</v>
      </c>
      <c r="X624" t="s">
        <v>690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640</v>
      </c>
      <c r="X625" t="s">
        <v>639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641</v>
      </c>
      <c r="X626" t="s">
        <v>690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641</v>
      </c>
      <c r="X627" t="s">
        <v>639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569</v>
      </c>
      <c r="X628" t="s">
        <v>566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569</v>
      </c>
      <c r="X629" t="s">
        <v>479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569</v>
      </c>
      <c r="X630" t="s">
        <v>636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569</v>
      </c>
      <c r="X631" t="s">
        <v>790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569</v>
      </c>
      <c r="X632" t="s">
        <v>791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792</v>
      </c>
      <c r="X633" t="s">
        <v>710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782</v>
      </c>
      <c r="X634" t="s">
        <v>586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793</v>
      </c>
      <c r="X635" t="s">
        <v>719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793</v>
      </c>
      <c r="X636" t="s">
        <v>741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794</v>
      </c>
      <c r="X637" t="s">
        <v>462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794</v>
      </c>
      <c r="X638" t="s">
        <v>464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795</v>
      </c>
      <c r="X639" t="s">
        <v>462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795</v>
      </c>
      <c r="X640" t="s">
        <v>464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790</v>
      </c>
      <c r="X641" t="s">
        <v>566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790</v>
      </c>
      <c r="X642" t="s">
        <v>479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790</v>
      </c>
      <c r="X643" t="s">
        <v>569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790</v>
      </c>
      <c r="X644" t="s">
        <v>791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796</v>
      </c>
      <c r="X645" t="s">
        <v>797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796</v>
      </c>
      <c r="X646" t="s">
        <v>462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796</v>
      </c>
      <c r="X647" t="s">
        <v>798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796</v>
      </c>
      <c r="X648" t="s">
        <v>799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796</v>
      </c>
      <c r="X649" t="s">
        <v>464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796</v>
      </c>
      <c r="X650" t="s">
        <v>775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796</v>
      </c>
      <c r="X651" t="s">
        <v>800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796</v>
      </c>
      <c r="X652" t="s">
        <v>801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796</v>
      </c>
      <c r="X653" t="s">
        <v>802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801</v>
      </c>
      <c r="X654" t="s">
        <v>803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802</v>
      </c>
      <c r="X655" t="s">
        <v>632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802</v>
      </c>
      <c r="X656" t="s">
        <v>402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802</v>
      </c>
      <c r="X657" t="s">
        <v>462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802</v>
      </c>
      <c r="X658" t="s">
        <v>463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802</v>
      </c>
      <c r="X659" t="s">
        <v>531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802</v>
      </c>
      <c r="X660" t="s">
        <v>622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802</v>
      </c>
      <c r="X661" t="s">
        <v>804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802</v>
      </c>
      <c r="X662" t="s">
        <v>464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802</v>
      </c>
      <c r="X663" t="s">
        <v>775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802</v>
      </c>
      <c r="X664" t="s">
        <v>805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802</v>
      </c>
      <c r="X665" t="s">
        <v>806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802</v>
      </c>
      <c r="X666" t="s">
        <v>807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783</v>
      </c>
      <c r="X667" t="s">
        <v>586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587</v>
      </c>
      <c r="X668" t="s">
        <v>583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590</v>
      </c>
      <c r="X669" t="s">
        <v>479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590</v>
      </c>
      <c r="X670" t="s">
        <v>589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590</v>
      </c>
      <c r="X671" t="s">
        <v>591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485</v>
      </c>
      <c r="X672" t="s">
        <v>483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485</v>
      </c>
      <c r="X673" t="s">
        <v>509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485</v>
      </c>
      <c r="X674" t="s">
        <v>484</v>
      </c>
      <c r="Y674">
        <v>0.1383</v>
      </c>
    </row>
    <row r="675" spans="22:25" ht="15">
      <c r="V675" t="str">
        <f t="shared" si="10"/>
        <v>Pounds &lt;&lt;&lt;&gt;&gt;&gt; Dynes</v>
      </c>
      <c r="W675" t="s">
        <v>80</v>
      </c>
      <c r="X675" t="s">
        <v>583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591</v>
      </c>
      <c r="X676" t="s">
        <v>565</v>
      </c>
      <c r="Y676">
        <v>256</v>
      </c>
    </row>
    <row r="677" spans="22:25" ht="15">
      <c r="V677" t="str">
        <f t="shared" si="10"/>
        <v>Pounds  &lt;&lt;&lt;&gt;&gt;&gt; Dynes </v>
      </c>
      <c r="W677" t="s">
        <v>591</v>
      </c>
      <c r="X677" t="s">
        <v>588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591</v>
      </c>
      <c r="X678" t="s">
        <v>566</v>
      </c>
      <c r="Y678">
        <v>7000</v>
      </c>
    </row>
    <row r="679" spans="22:25" ht="15">
      <c r="V679" t="str">
        <f t="shared" si="10"/>
        <v>Pounds  &lt;&lt;&lt;&gt;&gt;&gt; Grams </v>
      </c>
      <c r="W679" t="s">
        <v>591</v>
      </c>
      <c r="X679" t="s">
        <v>479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591</v>
      </c>
      <c r="X680" t="s">
        <v>697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591</v>
      </c>
      <c r="X681" t="s">
        <v>698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591</v>
      </c>
      <c r="X682" t="s">
        <v>589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591</v>
      </c>
      <c r="X683" t="s">
        <v>567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591</v>
      </c>
      <c r="X684" t="s">
        <v>569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591</v>
      </c>
      <c r="X685" t="s">
        <v>590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591</v>
      </c>
      <c r="X686" t="s">
        <v>791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591</v>
      </c>
      <c r="X687" t="s">
        <v>808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591</v>
      </c>
      <c r="X688" t="s">
        <v>699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691</v>
      </c>
      <c r="X689" t="s">
        <v>639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791</v>
      </c>
      <c r="X690" t="s">
        <v>566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791</v>
      </c>
      <c r="X691" t="s">
        <v>479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791</v>
      </c>
      <c r="X692" t="s">
        <v>636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791</v>
      </c>
      <c r="X693" t="s">
        <v>569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791</v>
      </c>
      <c r="X694" t="s">
        <v>790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791</v>
      </c>
      <c r="X695" t="s">
        <v>809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791</v>
      </c>
      <c r="X696" t="s">
        <v>675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791</v>
      </c>
      <c r="X697" t="s">
        <v>677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791</v>
      </c>
      <c r="X698" t="s">
        <v>699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810</v>
      </c>
      <c r="X699" t="s">
        <v>402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810</v>
      </c>
      <c r="X700" t="s">
        <v>462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810</v>
      </c>
      <c r="X701" t="s">
        <v>434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542</v>
      </c>
      <c r="X702" t="s">
        <v>543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701</v>
      </c>
      <c r="X703" t="s">
        <v>700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649</v>
      </c>
      <c r="X704" t="s">
        <v>648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786</v>
      </c>
      <c r="X705" t="s">
        <v>586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702</v>
      </c>
      <c r="X706" t="s">
        <v>700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703</v>
      </c>
      <c r="X707" t="s">
        <v>700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787</v>
      </c>
      <c r="X708" t="s">
        <v>586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811</v>
      </c>
      <c r="X709" t="s">
        <v>705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811</v>
      </c>
      <c r="X710" t="s">
        <v>812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811</v>
      </c>
      <c r="X711" t="s">
        <v>707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811</v>
      </c>
      <c r="X712" t="s">
        <v>708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707</v>
      </c>
      <c r="X713" t="s">
        <v>813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707</v>
      </c>
      <c r="X714" t="s">
        <v>812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707</v>
      </c>
      <c r="X715" t="s">
        <v>811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707</v>
      </c>
      <c r="X716" t="s">
        <v>708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709</v>
      </c>
      <c r="X717" t="s">
        <v>416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709</v>
      </c>
      <c r="X718" t="s">
        <v>488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709</v>
      </c>
      <c r="X719" t="s">
        <v>716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709</v>
      </c>
      <c r="X720" t="s">
        <v>710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710</v>
      </c>
      <c r="X721" t="s">
        <v>416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710</v>
      </c>
      <c r="X722" t="s">
        <v>488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710</v>
      </c>
      <c r="X723" t="s">
        <v>716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710</v>
      </c>
      <c r="X724" t="s">
        <v>709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784</v>
      </c>
      <c r="X725" t="s">
        <v>586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431</v>
      </c>
      <c r="X726" t="s">
        <v>462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807</v>
      </c>
      <c r="X727" t="s">
        <v>530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807</v>
      </c>
      <c r="X728" t="s">
        <v>402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807</v>
      </c>
      <c r="X729" t="s">
        <v>462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807</v>
      </c>
      <c r="X730" t="s">
        <v>463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807</v>
      </c>
      <c r="X731" t="s">
        <v>531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807</v>
      </c>
      <c r="X732" t="s">
        <v>434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807</v>
      </c>
      <c r="X733" t="s">
        <v>464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560</v>
      </c>
      <c r="X734" t="s">
        <v>814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815</v>
      </c>
      <c r="X735" t="s">
        <v>816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815</v>
      </c>
      <c r="X736" t="s">
        <v>817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561</v>
      </c>
      <c r="X737" t="s">
        <v>818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819</v>
      </c>
      <c r="X738" t="s">
        <v>820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819</v>
      </c>
      <c r="X739" t="s">
        <v>816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819</v>
      </c>
      <c r="X740" t="s">
        <v>821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822</v>
      </c>
      <c r="X741" t="s">
        <v>823</v>
      </c>
      <c r="Y741">
        <v>0.25</v>
      </c>
    </row>
    <row r="742" spans="22:25" ht="15">
      <c r="V742" t="str">
        <f t="shared" si="11"/>
        <v>Rod  &lt;&lt;&lt;&gt;&gt;&gt; Meters </v>
      </c>
      <c r="W742" t="s">
        <v>822</v>
      </c>
      <c r="X742" t="s">
        <v>725</v>
      </c>
      <c r="Y742">
        <v>5.029</v>
      </c>
    </row>
    <row r="743" spans="22:25" ht="15">
      <c r="V743" t="str">
        <f t="shared" si="11"/>
        <v>Rods  &lt;&lt;&lt;&gt;&gt;&gt; Feet </v>
      </c>
      <c r="W743" t="s">
        <v>824</v>
      </c>
      <c r="X743" t="s">
        <v>722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825</v>
      </c>
      <c r="X744" t="s">
        <v>728</v>
      </c>
      <c r="Y744">
        <v>5.5</v>
      </c>
    </row>
    <row r="745" spans="22:25" ht="15">
      <c r="V745" t="str">
        <f t="shared" si="11"/>
        <v>Seconds &lt;&lt;&lt;&gt;&gt;&gt; Minutes</v>
      </c>
      <c r="W745" t="s">
        <v>112</v>
      </c>
      <c r="X745" t="s">
        <v>111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692</v>
      </c>
      <c r="X746" t="s">
        <v>82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826</v>
      </c>
      <c r="X747" t="s">
        <v>827</v>
      </c>
      <c r="Y747">
        <v>14.59</v>
      </c>
    </row>
    <row r="748" spans="22:25" ht="15">
      <c r="V748" t="str">
        <f t="shared" si="11"/>
        <v>Slug  &lt;&lt;&lt;&gt;&gt;&gt; Pounds </v>
      </c>
      <c r="W748" t="s">
        <v>826</v>
      </c>
      <c r="X748" t="s">
        <v>591</v>
      </c>
      <c r="Y748">
        <v>32.17</v>
      </c>
    </row>
    <row r="749" spans="22:25" ht="15">
      <c r="V749" t="str">
        <f t="shared" si="11"/>
        <v>Span  &lt;&lt;&lt;&gt;&gt;&gt; Inch </v>
      </c>
      <c r="W749" t="s">
        <v>828</v>
      </c>
      <c r="X749" t="s">
        <v>829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830</v>
      </c>
      <c r="X750" t="s">
        <v>511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830</v>
      </c>
      <c r="X751" t="s">
        <v>405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830</v>
      </c>
      <c r="X752" t="s">
        <v>513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830</v>
      </c>
      <c r="X753" t="s">
        <v>407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830</v>
      </c>
      <c r="X754" t="s">
        <v>408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830</v>
      </c>
      <c r="X755" t="s">
        <v>831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830</v>
      </c>
      <c r="X756" t="s">
        <v>409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405</v>
      </c>
      <c r="X757" t="s">
        <v>406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405</v>
      </c>
      <c r="X758" t="s">
        <v>511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405</v>
      </c>
      <c r="X759" t="s">
        <v>512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405</v>
      </c>
      <c r="X760" t="s">
        <v>513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405</v>
      </c>
      <c r="X761" t="s">
        <v>407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405</v>
      </c>
      <c r="X762" t="s">
        <v>408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405</v>
      </c>
      <c r="X763" t="s">
        <v>831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405</v>
      </c>
      <c r="X764" t="s">
        <v>409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513</v>
      </c>
      <c r="X765" t="s">
        <v>511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513</v>
      </c>
      <c r="X766" t="s">
        <v>512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513</v>
      </c>
      <c r="X767" t="s">
        <v>405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513</v>
      </c>
      <c r="X768" t="s">
        <v>407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513</v>
      </c>
      <c r="X769" t="s">
        <v>831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513</v>
      </c>
      <c r="X770" t="s">
        <v>514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513</v>
      </c>
      <c r="X771" t="s">
        <v>409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832</v>
      </c>
      <c r="X772" t="s">
        <v>406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832</v>
      </c>
      <c r="X773" t="s">
        <v>512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832</v>
      </c>
      <c r="X774" t="s">
        <v>405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832</v>
      </c>
      <c r="X775" t="s">
        <v>513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832</v>
      </c>
      <c r="X776" t="s">
        <v>407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832</v>
      </c>
      <c r="X777" t="s">
        <v>408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832</v>
      </c>
      <c r="X778" t="s">
        <v>409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407</v>
      </c>
      <c r="X779" t="s">
        <v>406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407</v>
      </c>
      <c r="X780" t="s">
        <v>512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407</v>
      </c>
      <c r="X781" t="s">
        <v>405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407</v>
      </c>
      <c r="X782" t="s">
        <v>513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407</v>
      </c>
      <c r="X783" t="s">
        <v>408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407</v>
      </c>
      <c r="X784" t="s">
        <v>831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407</v>
      </c>
      <c r="X785" t="s">
        <v>409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408</v>
      </c>
      <c r="X786" t="s">
        <v>406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408</v>
      </c>
      <c r="X787" t="s">
        <v>405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408</v>
      </c>
      <c r="X788" t="s">
        <v>833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408</v>
      </c>
      <c r="X789" t="s">
        <v>407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408</v>
      </c>
      <c r="X790" t="s">
        <v>409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831</v>
      </c>
      <c r="X791" t="s">
        <v>511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831</v>
      </c>
      <c r="X792" t="s">
        <v>512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831</v>
      </c>
      <c r="X793" t="s">
        <v>405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831</v>
      </c>
      <c r="X794" t="s">
        <v>513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514</v>
      </c>
      <c r="X795" t="s">
        <v>511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514</v>
      </c>
      <c r="X796" t="s">
        <v>512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514</v>
      </c>
      <c r="X797" t="s">
        <v>513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409</v>
      </c>
      <c r="X798" t="s">
        <v>406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409</v>
      </c>
      <c r="X799" t="s">
        <v>512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409</v>
      </c>
      <c r="X800" t="s">
        <v>405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409</v>
      </c>
      <c r="X801" t="s">
        <v>513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409</v>
      </c>
      <c r="X802" t="s">
        <v>407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409</v>
      </c>
      <c r="X803" t="s">
        <v>408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409</v>
      </c>
      <c r="X804" t="s">
        <v>831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834</v>
      </c>
      <c r="X805" t="s">
        <v>835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836</v>
      </c>
      <c r="X806" t="s">
        <v>837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838</v>
      </c>
      <c r="X807" t="s">
        <v>872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838</v>
      </c>
      <c r="X808" t="s">
        <v>873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838</v>
      </c>
      <c r="X809" t="s">
        <v>874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838</v>
      </c>
      <c r="X810" t="s">
        <v>837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838</v>
      </c>
      <c r="X811" t="s">
        <v>875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838</v>
      </c>
      <c r="X812" t="s">
        <v>84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838</v>
      </c>
      <c r="X813" t="s">
        <v>876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839</v>
      </c>
      <c r="X814" t="s">
        <v>837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840</v>
      </c>
      <c r="X815" t="s">
        <v>530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840</v>
      </c>
      <c r="X816" t="s">
        <v>872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840</v>
      </c>
      <c r="X817" t="s">
        <v>873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840</v>
      </c>
      <c r="X818" t="s">
        <v>875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840</v>
      </c>
      <c r="X819" t="s">
        <v>877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840</v>
      </c>
      <c r="X820" t="s">
        <v>84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840</v>
      </c>
      <c r="X821" t="s">
        <v>838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693</v>
      </c>
      <c r="X822" t="s">
        <v>639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841</v>
      </c>
      <c r="X823" t="s">
        <v>639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842</v>
      </c>
      <c r="X824" t="s">
        <v>673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675</v>
      </c>
      <c r="X825" t="s">
        <v>589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675</v>
      </c>
      <c r="X826" t="s">
        <v>591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675</v>
      </c>
      <c r="X827" t="s">
        <v>699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695</v>
      </c>
      <c r="X828" t="s">
        <v>639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677</v>
      </c>
      <c r="X829" t="s">
        <v>589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677</v>
      </c>
      <c r="X830" t="s">
        <v>591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699</v>
      </c>
      <c r="X831" t="s">
        <v>567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699</v>
      </c>
      <c r="X832" t="s">
        <v>569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699</v>
      </c>
      <c r="X833" t="s">
        <v>591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699</v>
      </c>
      <c r="X834" t="s">
        <v>791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699</v>
      </c>
      <c r="X835" t="s">
        <v>675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699</v>
      </c>
      <c r="X836" t="s">
        <v>677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843</v>
      </c>
      <c r="X837" t="s">
        <v>716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843</v>
      </c>
      <c r="X838" t="s">
        <v>710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844</v>
      </c>
      <c r="X839" t="s">
        <v>624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844</v>
      </c>
      <c r="X840" t="s">
        <v>544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844</v>
      </c>
      <c r="X841" t="s">
        <v>845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846</v>
      </c>
      <c r="X842" t="s">
        <v>847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848</v>
      </c>
      <c r="X843" t="s">
        <v>849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850</v>
      </c>
      <c r="X844" t="s">
        <v>851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596</v>
      </c>
      <c r="X845" t="s">
        <v>442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596</v>
      </c>
      <c r="X846" t="s">
        <v>443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596</v>
      </c>
      <c r="X847" t="s">
        <v>614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596</v>
      </c>
      <c r="X848" t="s">
        <v>445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596</v>
      </c>
      <c r="X849" t="s">
        <v>446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596</v>
      </c>
      <c r="X850" t="s">
        <v>448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596</v>
      </c>
      <c r="X851" t="s">
        <v>852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596</v>
      </c>
      <c r="X852" t="s">
        <v>450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454</v>
      </c>
      <c r="X853" t="s">
        <v>451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454</v>
      </c>
      <c r="X854" t="s">
        <v>455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454</v>
      </c>
      <c r="X855" t="s">
        <v>853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454</v>
      </c>
      <c r="X856" t="s">
        <v>664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454</v>
      </c>
      <c r="X857" t="s">
        <v>456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454</v>
      </c>
      <c r="X858" t="s">
        <v>457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454</v>
      </c>
      <c r="X859" t="s">
        <v>667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454</v>
      </c>
      <c r="X860" t="s">
        <v>665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454</v>
      </c>
      <c r="X861" t="s">
        <v>458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854</v>
      </c>
      <c r="X862" t="s">
        <v>855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854</v>
      </c>
      <c r="X863" t="s">
        <v>856</v>
      </c>
      <c r="Y863">
        <v>1</v>
      </c>
    </row>
    <row r="864" spans="22:25" ht="15">
      <c r="V864" t="str">
        <f t="shared" si="13"/>
        <v>Week  &lt;&lt;&lt;&gt;&gt;&gt; Day </v>
      </c>
      <c r="W864" t="s">
        <v>857</v>
      </c>
      <c r="X864" t="s">
        <v>858</v>
      </c>
      <c r="Y864">
        <v>7</v>
      </c>
    </row>
    <row r="865" spans="22:25" ht="15">
      <c r="V865" t="str">
        <f t="shared" si="13"/>
        <v>Week  &lt;&lt;&lt;&gt;&gt;&gt; Hour </v>
      </c>
      <c r="W865" t="s">
        <v>857</v>
      </c>
      <c r="X865" t="s">
        <v>859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857</v>
      </c>
      <c r="X866" t="s">
        <v>860</v>
      </c>
      <c r="Y866">
        <v>10080</v>
      </c>
    </row>
    <row r="867" spans="22:25" ht="15">
      <c r="V867" t="str">
        <f t="shared" si="13"/>
        <v>Week  &lt;&lt;&lt;&gt;&gt;&gt; Month </v>
      </c>
      <c r="W867" t="s">
        <v>857</v>
      </c>
      <c r="X867" t="s">
        <v>861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857</v>
      </c>
      <c r="X868" t="s">
        <v>862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728</v>
      </c>
      <c r="X869" t="s">
        <v>721</v>
      </c>
      <c r="Y869">
        <v>91.44</v>
      </c>
    </row>
    <row r="870" spans="22:25" ht="15">
      <c r="V870" t="str">
        <f t="shared" si="13"/>
        <v>Yards  &lt;&lt;&lt;&gt;&gt;&gt; fathom </v>
      </c>
      <c r="W870" t="s">
        <v>728</v>
      </c>
      <c r="X870" t="s">
        <v>863</v>
      </c>
      <c r="Y870">
        <v>0.5</v>
      </c>
    </row>
    <row r="871" spans="22:25" ht="15">
      <c r="V871" t="str">
        <f t="shared" si="13"/>
        <v>Yards  &lt;&lt;&lt;&gt;&gt;&gt; Foot </v>
      </c>
      <c r="W871" t="s">
        <v>728</v>
      </c>
      <c r="X871" t="s">
        <v>864</v>
      </c>
      <c r="Y871">
        <v>3</v>
      </c>
    </row>
    <row r="872" spans="22:25" ht="15">
      <c r="V872" t="str">
        <f t="shared" si="13"/>
        <v>Yards  &lt;&lt;&lt;&gt;&gt;&gt; Inches </v>
      </c>
      <c r="W872" t="s">
        <v>728</v>
      </c>
      <c r="X872" t="s">
        <v>723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728</v>
      </c>
      <c r="X873" t="s">
        <v>719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728</v>
      </c>
      <c r="X874" t="s">
        <v>725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728</v>
      </c>
      <c r="X875" t="s">
        <v>762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728</v>
      </c>
      <c r="X876" t="s">
        <v>763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728</v>
      </c>
      <c r="X877" t="s">
        <v>727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865</v>
      </c>
      <c r="X878" t="s">
        <v>858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865</v>
      </c>
      <c r="X879" t="s">
        <v>859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865</v>
      </c>
      <c r="X880" t="s">
        <v>866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865</v>
      </c>
      <c r="X881" t="s">
        <v>862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865</v>
      </c>
      <c r="X882" t="s">
        <v>857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sheetProtection/>
  <printOptions/>
  <pageMargins left="0.5" right="0.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A1:I510"/>
  <sheetViews>
    <sheetView showGridLines="0" showRowColHeaders="0" zoomScale="71" zoomScaleNormal="71" zoomScalePageLayoutView="0" workbookViewId="0" topLeftCell="A1">
      <pane ySplit="11" topLeftCell="BM12" activePane="bottomLeft" state="frozen"/>
      <selection pane="topLeft" activeCell="A1" sqref="A1"/>
      <selection pane="bottomLeft" activeCell="C7" sqref="C7"/>
    </sheetView>
  </sheetViews>
  <sheetFormatPr defaultColWidth="9.77734375" defaultRowHeight="15"/>
  <cols>
    <col min="1" max="1" width="5.3359375" style="189" customWidth="1"/>
    <col min="2" max="2" width="4.77734375" style="0" customWidth="1"/>
    <col min="3" max="3" width="12.77734375" style="0" customWidth="1"/>
    <col min="4" max="5" width="10.77734375" style="0" customWidth="1"/>
    <col min="6" max="6" width="12.77734375" style="0" customWidth="1"/>
    <col min="7" max="8" width="13.77734375" style="0" customWidth="1"/>
    <col min="9" max="9" width="12.77734375" style="0" customWidth="1"/>
  </cols>
  <sheetData>
    <row r="1" spans="1:9" ht="23.25">
      <c r="A1" s="58" t="s">
        <v>20</v>
      </c>
      <c r="B1" s="71"/>
      <c r="C1" s="193"/>
      <c r="D1" s="71"/>
      <c r="E1" s="71"/>
      <c r="F1" s="71"/>
      <c r="G1" s="71"/>
      <c r="H1" s="71"/>
      <c r="I1" s="72"/>
    </row>
    <row r="2" spans="1:9" ht="15">
      <c r="A2" s="194" t="s">
        <v>21</v>
      </c>
      <c r="B2" s="57"/>
      <c r="C2" s="57"/>
      <c r="D2" s="11"/>
      <c r="E2" s="11"/>
      <c r="F2" s="11"/>
      <c r="G2" s="11"/>
      <c r="H2" s="11"/>
      <c r="I2" s="62"/>
    </row>
    <row r="3" spans="1:9" ht="15">
      <c r="A3" s="63"/>
      <c r="B3" s="259" t="s">
        <v>22</v>
      </c>
      <c r="C3" s="45">
        <v>100000</v>
      </c>
      <c r="D3" s="257" t="s">
        <v>23</v>
      </c>
      <c r="E3" s="18"/>
      <c r="F3" s="18"/>
      <c r="G3" s="28">
        <f>IF(C5="","",PMT((C4/12)/100,C5,-C3))</f>
        <v>8908.286271059997</v>
      </c>
      <c r="H3" s="257" t="s">
        <v>24</v>
      </c>
      <c r="I3" s="62"/>
    </row>
    <row r="4" spans="1:9" ht="15">
      <c r="A4" s="63"/>
      <c r="B4" s="259" t="s">
        <v>25</v>
      </c>
      <c r="C4" s="181">
        <v>12.5</v>
      </c>
      <c r="D4" s="257" t="s">
        <v>26</v>
      </c>
      <c r="E4" s="18"/>
      <c r="F4" s="18"/>
      <c r="G4" s="28">
        <f>IF(C5="","",SUM(G3*C5-C3))</f>
        <v>6899.435252719966</v>
      </c>
      <c r="H4" s="257" t="s">
        <v>27</v>
      </c>
      <c r="I4" s="65"/>
    </row>
    <row r="5" spans="1:9" ht="15">
      <c r="A5" s="63"/>
      <c r="B5" s="311"/>
      <c r="C5" s="3">
        <v>12</v>
      </c>
      <c r="D5" s="257" t="s">
        <v>28</v>
      </c>
      <c r="E5" s="18"/>
      <c r="F5" s="18"/>
      <c r="G5" s="28">
        <f>IF(C5="","",SUM(G3*C5))</f>
        <v>106899.43525271997</v>
      </c>
      <c r="H5" s="257" t="s">
        <v>29</v>
      </c>
      <c r="I5" s="65"/>
    </row>
    <row r="6" spans="1:9" ht="15">
      <c r="A6" s="63"/>
      <c r="B6" s="259" t="s">
        <v>30</v>
      </c>
      <c r="C6" s="188">
        <v>1</v>
      </c>
      <c r="D6" s="258" t="s">
        <v>31</v>
      </c>
      <c r="E6" s="18"/>
      <c r="F6" s="18"/>
      <c r="G6" s="195">
        <f>IF(C5="","",C5/12)</f>
        <v>1</v>
      </c>
      <c r="H6" s="257" t="s">
        <v>32</v>
      </c>
      <c r="I6" s="65"/>
    </row>
    <row r="7" spans="1:9" ht="15">
      <c r="A7" s="61"/>
      <c r="B7" s="259" t="s">
        <v>22</v>
      </c>
      <c r="C7" s="310"/>
      <c r="D7" s="257" t="s">
        <v>33</v>
      </c>
      <c r="E7" s="294"/>
      <c r="F7" s="257"/>
      <c r="G7" s="294"/>
      <c r="H7" s="295"/>
      <c r="I7" s="62"/>
    </row>
    <row r="8" spans="1:9" ht="15">
      <c r="A8" s="192"/>
      <c r="B8" s="298"/>
      <c r="C8" s="309"/>
      <c r="D8" s="300"/>
      <c r="E8" s="298">
        <f>IF(C7="","","The extra money each month, reduces your interest to")</f>
      </c>
      <c r="F8" s="307">
        <f>IF(C7="","",SUM(D12:D383))</f>
      </c>
      <c r="G8" s="301"/>
      <c r="H8" s="306">
        <f>IF(C7="","","Your interest savings would be")</f>
      </c>
      <c r="I8" s="308">
        <f>IF(C7="","",G4-F8)</f>
      </c>
    </row>
    <row r="9" spans="1:9" ht="15.75" thickBot="1">
      <c r="A9" s="73"/>
      <c r="B9" s="74"/>
      <c r="C9" s="297"/>
      <c r="D9" s="296">
        <f>IF(C7="","","Number of monthly payments would be")</f>
      </c>
      <c r="E9" s="303">
        <f>IF(C7="","",COUNTIF(B12:B383,"&gt;0"))</f>
      </c>
      <c r="F9" s="304">
        <f>IF(C7="","",C5-E9)</f>
      </c>
      <c r="G9" s="305">
        <f>IF(C7="","","less monthly payments would have to be made.")</f>
      </c>
      <c r="H9" s="302"/>
      <c r="I9" s="299"/>
    </row>
    <row r="10" spans="1:9" ht="15">
      <c r="A10" s="191"/>
      <c r="B10" s="182" t="s">
        <v>34</v>
      </c>
      <c r="C10" s="182" t="s">
        <v>35</v>
      </c>
      <c r="D10" s="182" t="s">
        <v>13</v>
      </c>
      <c r="E10" s="182" t="s">
        <v>36</v>
      </c>
      <c r="F10" s="182" t="s">
        <v>37</v>
      </c>
      <c r="G10" s="182" t="s">
        <v>38</v>
      </c>
      <c r="H10" s="182" t="s">
        <v>39</v>
      </c>
      <c r="I10" s="182" t="s">
        <v>40</v>
      </c>
    </row>
    <row r="11" spans="1:9" ht="15">
      <c r="A11" s="191"/>
      <c r="B11" s="182" t="s">
        <v>41</v>
      </c>
      <c r="C11" s="182" t="s">
        <v>8</v>
      </c>
      <c r="D11" s="182" t="s">
        <v>42</v>
      </c>
      <c r="E11" s="182" t="s">
        <v>42</v>
      </c>
      <c r="F11" s="182" t="s">
        <v>8</v>
      </c>
      <c r="G11" s="182" t="s">
        <v>43</v>
      </c>
      <c r="H11" s="182" t="s">
        <v>43</v>
      </c>
      <c r="I11" s="182" t="s">
        <v>44</v>
      </c>
    </row>
    <row r="12" spans="1:8" ht="15">
      <c r="A12" s="189" t="str">
        <f>IF(B12="","","Jan")</f>
        <v>Jan</v>
      </c>
      <c r="B12">
        <f>IF(C6=1,1,"")</f>
        <v>1</v>
      </c>
      <c r="C12" s="180">
        <f>IF($C$6=1,C3,"")</f>
        <v>100000</v>
      </c>
      <c r="D12" s="180">
        <f>IF($C$6=1,$C$3*(($C$4/100)/12),"")</f>
        <v>1041.6666666666665</v>
      </c>
      <c r="E12" s="180">
        <f>IF($C$6=1,($C$7+$G$3)-D12,"")</f>
        <v>7866.6196043933305</v>
      </c>
      <c r="F12" s="180">
        <f>IF($C$6=1,C12-E12,"")</f>
        <v>92133.38039560667</v>
      </c>
      <c r="G12" s="180">
        <f>E12</f>
        <v>7866.6196043933305</v>
      </c>
      <c r="H12" s="180">
        <f>D12</f>
        <v>1041.6666666666665</v>
      </c>
    </row>
    <row r="13" spans="1:8" ht="15">
      <c r="A13" s="189" t="str">
        <f>IF(B13="","","Feb")</f>
        <v>Feb</v>
      </c>
      <c r="B13">
        <f>IF(B12=ABS($C$5),"",IF($C$6=2,1,IF(B12="","",IF(F12-$C$7&lt;=0,"",B12+1))))</f>
        <v>2</v>
      </c>
      <c r="C13" s="180">
        <f>IF(B13="","",IF($C$6=2,$C$3,F12))</f>
        <v>92133.38039560667</v>
      </c>
      <c r="D13" s="180">
        <f aca="true" t="shared" si="0" ref="D13:D25">IF(B13="","",C13*(($C$4/100)/12))</f>
        <v>959.7227124542361</v>
      </c>
      <c r="E13" s="180">
        <f aca="true" t="shared" si="1" ref="E13:E76">IF(B13="","",IF(C13+D13&lt;($G$3+$C$7),(C13+D13)-D13,($G$3+$C$7)-D13))</f>
        <v>7948.563558605761</v>
      </c>
      <c r="F13" s="180">
        <f>IF(B13="","",C13-E13)</f>
        <v>84184.81683700091</v>
      </c>
      <c r="G13" s="180">
        <f>IF(B13="","",G12+E13)</f>
        <v>15815.183162999092</v>
      </c>
      <c r="H13" s="180">
        <f aca="true" t="shared" si="2" ref="H13:H76">IF(B13="","",H12+D13)</f>
        <v>2001.3893791209025</v>
      </c>
    </row>
    <row r="14" spans="1:8" ht="15">
      <c r="A14" s="189" t="str">
        <f>IF(B14="","","Mar")</f>
        <v>Mar</v>
      </c>
      <c r="B14">
        <f>IF(B13=ABS($C$5),"",IF($C$6=3,1,IF(B13="","",IF(F13-$C$7&lt;=0,"",B13+1))))</f>
        <v>3</v>
      </c>
      <c r="C14" s="180">
        <f>IF(B14="","",IF($C$6=3,$C$3,F13))</f>
        <v>84184.81683700091</v>
      </c>
      <c r="D14" s="180">
        <f t="shared" si="0"/>
        <v>876.9251753854261</v>
      </c>
      <c r="E14" s="180">
        <f t="shared" si="1"/>
        <v>8031.361095674571</v>
      </c>
      <c r="F14" s="180">
        <f aca="true" t="shared" si="3" ref="F14:F29">IF(B14="","",C14-E14)</f>
        <v>76153.45574132634</v>
      </c>
      <c r="G14" s="180">
        <f aca="true" t="shared" si="4" ref="G14:G29">IF(B14="","",G13+E14)</f>
        <v>23846.54425867366</v>
      </c>
      <c r="H14" s="180">
        <f t="shared" si="2"/>
        <v>2878.3145545063285</v>
      </c>
    </row>
    <row r="15" spans="1:8" ht="15">
      <c r="A15" s="189" t="str">
        <f>IF(B15="","","Apr")</f>
        <v>Apr</v>
      </c>
      <c r="B15">
        <f>IF(B14=ABS($C$5),"",IF($C$6=4,1,IF(B14="","",IF(F14-$C$7&lt;=0,"",B14+1))))</f>
        <v>4</v>
      </c>
      <c r="C15" s="180">
        <f>IF(B15="","",IF($C$6=4,$C$3,F14))</f>
        <v>76153.45574132634</v>
      </c>
      <c r="D15" s="180">
        <f t="shared" si="0"/>
        <v>793.2651639721494</v>
      </c>
      <c r="E15" s="180">
        <f t="shared" si="1"/>
        <v>8115.021107087847</v>
      </c>
      <c r="F15" s="180">
        <f t="shared" si="3"/>
        <v>68038.4346342385</v>
      </c>
      <c r="G15" s="180">
        <f t="shared" si="4"/>
        <v>31961.565365761508</v>
      </c>
      <c r="H15" s="180">
        <f t="shared" si="2"/>
        <v>3671.579718478478</v>
      </c>
    </row>
    <row r="16" spans="1:8" ht="15">
      <c r="A16" s="189" t="str">
        <f>IF(B16="","","May")</f>
        <v>May</v>
      </c>
      <c r="B16">
        <f>IF(B15=ABS($C$5),"",IF($C$6=5,1,IF(B15="","",IF(F15-$C$7&lt;=0,"",B15+1))))</f>
        <v>5</v>
      </c>
      <c r="C16" s="180">
        <f>IF(B16="","",IF($C$6=5,$C$3,F15))</f>
        <v>68038.4346342385</v>
      </c>
      <c r="D16" s="180">
        <f t="shared" si="0"/>
        <v>708.733694106651</v>
      </c>
      <c r="E16" s="180">
        <f t="shared" si="1"/>
        <v>8199.552576953345</v>
      </c>
      <c r="F16" s="180">
        <f t="shared" si="3"/>
        <v>59838.882057285155</v>
      </c>
      <c r="G16" s="180">
        <f t="shared" si="4"/>
        <v>40161.11794271485</v>
      </c>
      <c r="H16" s="180">
        <f t="shared" si="2"/>
        <v>4380.313412585128</v>
      </c>
    </row>
    <row r="17" spans="1:8" ht="15">
      <c r="A17" s="189" t="str">
        <f>IF(B17="","","Jun")</f>
        <v>Jun</v>
      </c>
      <c r="B17">
        <f>IF(B16=ABS($C$5),"",IF($C$6=6,1,IF(B16="","",IF(F16-$C$7&lt;=0,"",B16+1))))</f>
        <v>6</v>
      </c>
      <c r="C17" s="180">
        <f>IF(B17="","",IF($C$6=6,$C$3,F16))</f>
        <v>59838.882057285155</v>
      </c>
      <c r="D17" s="180">
        <f t="shared" si="0"/>
        <v>623.3216880967203</v>
      </c>
      <c r="E17" s="180">
        <f t="shared" si="1"/>
        <v>8284.964582963275</v>
      </c>
      <c r="F17" s="180">
        <f t="shared" si="3"/>
        <v>51553.917474321875</v>
      </c>
      <c r="G17" s="180">
        <f t="shared" si="4"/>
        <v>48446.082525678125</v>
      </c>
      <c r="H17" s="180">
        <f t="shared" si="2"/>
        <v>5003.635100681849</v>
      </c>
    </row>
    <row r="18" spans="1:8" ht="15">
      <c r="A18" s="189" t="str">
        <f>IF(B18="","","Jul")</f>
        <v>Jul</v>
      </c>
      <c r="B18">
        <f>IF(B17=ABS($C$5),"",IF($C$6=7,1,IF(B17="","",IF(F17-$C$7&lt;=0,"",B17+1))))</f>
        <v>7</v>
      </c>
      <c r="C18" s="180">
        <f>IF(B18="","",IF($C$6=7,$C$3,F17))</f>
        <v>51553.917474321875</v>
      </c>
      <c r="D18" s="180">
        <f t="shared" si="0"/>
        <v>537.0199736908528</v>
      </c>
      <c r="E18" s="180">
        <f t="shared" si="1"/>
        <v>8371.266297369144</v>
      </c>
      <c r="F18" s="180">
        <f t="shared" si="3"/>
        <v>43182.65117695273</v>
      </c>
      <c r="G18" s="180">
        <f t="shared" si="4"/>
        <v>56817.34882304727</v>
      </c>
      <c r="H18" s="180">
        <f t="shared" si="2"/>
        <v>5540.655074372701</v>
      </c>
    </row>
    <row r="19" spans="1:9" ht="15">
      <c r="A19" s="189" t="str">
        <f>IF(B19="","","Aug")</f>
        <v>Aug</v>
      </c>
      <c r="B19">
        <f>IF(B18=ABS($C$5),"",IF($C$6=8,1,IF(B18="","",IF(F18-$C$7&lt;=0,"",B18+1))))</f>
        <v>8</v>
      </c>
      <c r="C19" s="180">
        <f>IF(B19="","",IF($C$6=8,$C$3,F18))</f>
        <v>43182.65117695273</v>
      </c>
      <c r="D19" s="180">
        <f t="shared" si="0"/>
        <v>449.8192830932576</v>
      </c>
      <c r="E19" s="180">
        <f t="shared" si="1"/>
        <v>8458.466987966738</v>
      </c>
      <c r="F19" s="180">
        <f t="shared" si="3"/>
        <v>34724.18418898599</v>
      </c>
      <c r="G19" s="180">
        <f t="shared" si="4"/>
        <v>65275.81581101401</v>
      </c>
      <c r="H19" s="180">
        <f t="shared" si="2"/>
        <v>5990.474357465959</v>
      </c>
      <c r="I19" s="183" t="str">
        <f>IF(C6="","","Principle")</f>
        <v>Principle</v>
      </c>
    </row>
    <row r="20" spans="1:9" ht="15">
      <c r="A20" s="189" t="str">
        <f>IF(B20="","","Sep")</f>
        <v>Sep</v>
      </c>
      <c r="B20">
        <f>IF(B19=ABS($C$5),"",IF($C$6=9,1,IF(B19="","",IF(F19-$C$7&lt;=0,"",B19+1))))</f>
        <v>9</v>
      </c>
      <c r="C20" s="180">
        <f>IF(B20="","",IF($C$6=9,$C$3,F19))</f>
        <v>34724.18418898599</v>
      </c>
      <c r="D20" s="180">
        <f t="shared" si="0"/>
        <v>361.7102519686041</v>
      </c>
      <c r="E20" s="180">
        <f t="shared" si="1"/>
        <v>8546.576019091393</v>
      </c>
      <c r="F20" s="180">
        <f t="shared" si="3"/>
        <v>26177.6081698946</v>
      </c>
      <c r="G20" s="180">
        <f t="shared" si="4"/>
        <v>73822.3918301054</v>
      </c>
      <c r="H20" s="180">
        <f t="shared" si="2"/>
        <v>6352.184609434563</v>
      </c>
      <c r="I20" s="184">
        <f>IF(C6="","",SUM(E12:E23))</f>
        <v>99999.99999999964</v>
      </c>
    </row>
    <row r="21" spans="1:9" ht="15">
      <c r="A21" s="189" t="str">
        <f>IF(B21="","","Oct")</f>
        <v>Oct</v>
      </c>
      <c r="B21">
        <f>IF(B20=ABS($C$5),"",IF($C$6=10,1,IF(B20="","",IF(F20-$C$7&lt;=0,"",B20+1))))</f>
        <v>10</v>
      </c>
      <c r="C21" s="180">
        <f>IF(B21="","",IF($C$6=10,$C$3,F20))</f>
        <v>26177.6081698946</v>
      </c>
      <c r="D21" s="180">
        <f t="shared" si="0"/>
        <v>272.68341843640206</v>
      </c>
      <c r="E21" s="180">
        <f t="shared" si="1"/>
        <v>8635.602852623595</v>
      </c>
      <c r="F21" s="180">
        <f t="shared" si="3"/>
        <v>17542.005317271003</v>
      </c>
      <c r="G21" s="180">
        <f t="shared" si="4"/>
        <v>82457.99468272898</v>
      </c>
      <c r="H21" s="180">
        <f t="shared" si="2"/>
        <v>6624.868027870965</v>
      </c>
      <c r="I21" s="183" t="str">
        <f>IF(C6="","","Interest")</f>
        <v>Interest</v>
      </c>
    </row>
    <row r="22" spans="1:9" ht="15">
      <c r="A22" s="189" t="str">
        <f>IF(B22="","","Nov")</f>
        <v>Nov</v>
      </c>
      <c r="B22">
        <f>IF(B21=ABS($C$5),"",IF($C$6=11,1,IF(B21="","",IF(F21-$C$7&lt;=0,"",B21+1))))</f>
        <v>11</v>
      </c>
      <c r="C22" s="180">
        <f>IF(B22="","",IF($C$6=11,$C$3,F21))</f>
        <v>17542.005317271003</v>
      </c>
      <c r="D22" s="180">
        <f t="shared" si="0"/>
        <v>182.72922205490627</v>
      </c>
      <c r="E22" s="180">
        <f t="shared" si="1"/>
        <v>8725.55704900509</v>
      </c>
      <c r="F22" s="180">
        <f t="shared" si="3"/>
        <v>8816.448268265913</v>
      </c>
      <c r="G22" s="180">
        <f t="shared" si="4"/>
        <v>91183.55173173407</v>
      </c>
      <c r="H22" s="180">
        <f t="shared" si="2"/>
        <v>6807.597249925871</v>
      </c>
      <c r="I22" s="184">
        <f>IF(C6="","",SUM(D12:D23))</f>
        <v>6899.435252720308</v>
      </c>
    </row>
    <row r="23" spans="1:9" ht="15">
      <c r="A23" s="190" t="str">
        <f>IF(B23="","","Dec")</f>
        <v>Dec</v>
      </c>
      <c r="B23" s="185">
        <f>IF(B22=ABS($C$5),"",IF($C$6=12,1,IF(B22="","",IF(F22-$C$7&lt;=0,"",B22+1))))</f>
        <v>12</v>
      </c>
      <c r="C23" s="186">
        <f>IF(B23="","",IF($C$6=12,$C$3,F22))</f>
        <v>8816.448268265913</v>
      </c>
      <c r="D23" s="186">
        <f t="shared" si="0"/>
        <v>91.83800279443659</v>
      </c>
      <c r="E23" s="186">
        <f t="shared" si="1"/>
        <v>8816.44826826556</v>
      </c>
      <c r="F23" s="186">
        <f t="shared" si="3"/>
        <v>3.5288394428789616E-10</v>
      </c>
      <c r="G23" s="186">
        <f t="shared" si="4"/>
        <v>99999.99999999964</v>
      </c>
      <c r="H23" s="186">
        <f t="shared" si="2"/>
        <v>6899.435252720308</v>
      </c>
      <c r="I23" s="187" t="str">
        <f>IF(C6="","","End of year 1")</f>
        <v>End of year 1</v>
      </c>
    </row>
    <row r="24" spans="1:8" ht="15">
      <c r="A24" s="189">
        <f>IF(B24="","","Jan")</f>
      </c>
      <c r="B24">
        <f>IF(B23=ABS($C$5),"",IF(B23="","",IF(G23&gt;=$C$3,"",B23+1)))</f>
      </c>
      <c r="C24" s="180">
        <f aca="true" t="shared" si="5" ref="C24:C29">IF(B24="","",F23)</f>
      </c>
      <c r="D24" s="180">
        <f t="shared" si="0"/>
      </c>
      <c r="E24" s="180">
        <f t="shared" si="1"/>
      </c>
      <c r="F24" s="180">
        <f t="shared" si="3"/>
      </c>
      <c r="G24" s="180">
        <f t="shared" si="4"/>
      </c>
      <c r="H24" s="180">
        <f t="shared" si="2"/>
      </c>
    </row>
    <row r="25" spans="1:8" ht="15">
      <c r="A25" s="189">
        <f>IF(B25="","","Feb")</f>
      </c>
      <c r="B25">
        <f aca="true" t="shared" si="6" ref="B25:B88">IF(B24=ABS($C$5),"",IF(B24="","",IF(G24&gt;=$C$3,"",B24+1)))</f>
      </c>
      <c r="C25" s="180">
        <f t="shared" si="5"/>
      </c>
      <c r="D25" s="180">
        <f t="shared" si="0"/>
      </c>
      <c r="E25" s="180">
        <f t="shared" si="1"/>
      </c>
      <c r="F25" s="180">
        <f t="shared" si="3"/>
      </c>
      <c r="G25" s="180">
        <f t="shared" si="4"/>
      </c>
      <c r="H25" s="180">
        <f t="shared" si="2"/>
      </c>
    </row>
    <row r="26" spans="1:8" ht="15">
      <c r="A26" s="189">
        <f>IF(B26="","","Mar")</f>
      </c>
      <c r="B26">
        <f t="shared" si="6"/>
      </c>
      <c r="C26" s="180">
        <f t="shared" si="5"/>
      </c>
      <c r="D26" s="180">
        <f aca="true" t="shared" si="7" ref="D26:D89">IF(B26="","",C26*(($C$4/100)/12))</f>
      </c>
      <c r="E26" s="180">
        <f t="shared" si="1"/>
      </c>
      <c r="F26" s="180">
        <f t="shared" si="3"/>
      </c>
      <c r="G26" s="180">
        <f t="shared" si="4"/>
      </c>
      <c r="H26" s="180">
        <f t="shared" si="2"/>
      </c>
    </row>
    <row r="27" spans="1:8" ht="15">
      <c r="A27" s="189">
        <f>IF(B27="","","Apr")</f>
      </c>
      <c r="B27">
        <f t="shared" si="6"/>
      </c>
      <c r="C27" s="180">
        <f t="shared" si="5"/>
      </c>
      <c r="D27" s="180">
        <f t="shared" si="7"/>
      </c>
      <c r="E27" s="180">
        <f t="shared" si="1"/>
      </c>
      <c r="F27" s="180">
        <f t="shared" si="3"/>
      </c>
      <c r="G27" s="180">
        <f t="shared" si="4"/>
      </c>
      <c r="H27" s="180">
        <f t="shared" si="2"/>
      </c>
    </row>
    <row r="28" spans="1:8" ht="15">
      <c r="A28" s="189">
        <f>IF(B28="","","May")</f>
      </c>
      <c r="B28">
        <f t="shared" si="6"/>
      </c>
      <c r="C28" s="180">
        <f t="shared" si="5"/>
      </c>
      <c r="D28" s="180">
        <f t="shared" si="7"/>
      </c>
      <c r="E28" s="180">
        <f t="shared" si="1"/>
      </c>
      <c r="F28" s="180">
        <f t="shared" si="3"/>
      </c>
      <c r="G28" s="180">
        <f t="shared" si="4"/>
      </c>
      <c r="H28" s="180">
        <f t="shared" si="2"/>
      </c>
    </row>
    <row r="29" spans="1:8" ht="15">
      <c r="A29" s="189">
        <f>IF(B29="","","Jun")</f>
      </c>
      <c r="B29">
        <f t="shared" si="6"/>
      </c>
      <c r="C29" s="180">
        <f t="shared" si="5"/>
      </c>
      <c r="D29" s="180">
        <f t="shared" si="7"/>
      </c>
      <c r="E29" s="180">
        <f t="shared" si="1"/>
      </c>
      <c r="F29" s="180">
        <f t="shared" si="3"/>
      </c>
      <c r="G29" s="180">
        <f t="shared" si="4"/>
      </c>
      <c r="H29" s="180">
        <f t="shared" si="2"/>
      </c>
    </row>
    <row r="30" spans="1:8" ht="15">
      <c r="A30" s="189">
        <f>IF(B30="","","Jul")</f>
      </c>
      <c r="B30">
        <f t="shared" si="6"/>
      </c>
      <c r="C30" s="180">
        <f aca="true" t="shared" si="8" ref="C30:C45">IF(B30="","",F29)</f>
      </c>
      <c r="D30" s="180">
        <f t="shared" si="7"/>
      </c>
      <c r="E30" s="180">
        <f t="shared" si="1"/>
      </c>
      <c r="F30" s="180">
        <f aca="true" t="shared" si="9" ref="F30:F45">IF(B30="","",C30-E30)</f>
      </c>
      <c r="G30" s="180">
        <f aca="true" t="shared" si="10" ref="G30:G45">IF(B30="","",G29+E30)</f>
      </c>
      <c r="H30" s="180">
        <f t="shared" si="2"/>
      </c>
    </row>
    <row r="31" spans="1:9" ht="15">
      <c r="A31" s="189">
        <f>IF(B31="","","Aug")</f>
      </c>
      <c r="B31">
        <f t="shared" si="6"/>
      </c>
      <c r="C31" s="180">
        <f t="shared" si="8"/>
      </c>
      <c r="D31" s="180">
        <f t="shared" si="7"/>
      </c>
      <c r="E31" s="180">
        <f t="shared" si="1"/>
      </c>
      <c r="F31" s="180">
        <f t="shared" si="9"/>
      </c>
      <c r="G31" s="180">
        <f t="shared" si="10"/>
      </c>
      <c r="H31" s="180">
        <f t="shared" si="2"/>
      </c>
      <c r="I31" s="183">
        <f>IF(B24="","","Principal")</f>
      </c>
    </row>
    <row r="32" spans="1:9" ht="15">
      <c r="A32" s="189">
        <f>IF(B32="","","Sep")</f>
      </c>
      <c r="B32">
        <f t="shared" si="6"/>
      </c>
      <c r="C32" s="180">
        <f t="shared" si="8"/>
      </c>
      <c r="D32" s="180">
        <f t="shared" si="7"/>
      </c>
      <c r="E32" s="180">
        <f t="shared" si="1"/>
      </c>
      <c r="F32" s="180">
        <f t="shared" si="9"/>
      </c>
      <c r="G32" s="180">
        <f t="shared" si="10"/>
      </c>
      <c r="H32" s="180">
        <f t="shared" si="2"/>
      </c>
      <c r="I32" s="184">
        <f>IF(B24="","",SUM(E24:E35))</f>
      </c>
    </row>
    <row r="33" spans="1:9" ht="15">
      <c r="A33" s="189">
        <f>IF(B33="","","Oct")</f>
      </c>
      <c r="B33">
        <f t="shared" si="6"/>
      </c>
      <c r="C33" s="180">
        <f t="shared" si="8"/>
      </c>
      <c r="D33" s="180">
        <f t="shared" si="7"/>
      </c>
      <c r="E33" s="180">
        <f t="shared" si="1"/>
      </c>
      <c r="F33" s="180">
        <f t="shared" si="9"/>
      </c>
      <c r="G33" s="180">
        <f t="shared" si="10"/>
      </c>
      <c r="H33" s="180">
        <f t="shared" si="2"/>
      </c>
      <c r="I33" s="183">
        <f>IF(B24="","","Interest")</f>
      </c>
    </row>
    <row r="34" spans="1:9" ht="15">
      <c r="A34" s="189">
        <f>IF(B34="","","Nov")</f>
      </c>
      <c r="B34">
        <f t="shared" si="6"/>
      </c>
      <c r="C34" s="180">
        <f t="shared" si="8"/>
      </c>
      <c r="D34" s="180">
        <f t="shared" si="7"/>
      </c>
      <c r="E34" s="180">
        <f t="shared" si="1"/>
      </c>
      <c r="F34" s="180">
        <f t="shared" si="9"/>
      </c>
      <c r="G34" s="180">
        <f t="shared" si="10"/>
      </c>
      <c r="H34" s="180">
        <f t="shared" si="2"/>
      </c>
      <c r="I34" s="184">
        <f>IF(B24="","",SUM(D24:D35))</f>
      </c>
    </row>
    <row r="35" spans="1:9" ht="15">
      <c r="A35" s="190">
        <f>IF(B35="","","Dec")</f>
      </c>
      <c r="B35" s="185">
        <f t="shared" si="6"/>
      </c>
      <c r="C35" s="186">
        <f t="shared" si="8"/>
      </c>
      <c r="D35" s="186">
        <f t="shared" si="7"/>
      </c>
      <c r="E35" s="186">
        <f t="shared" si="1"/>
      </c>
      <c r="F35" s="186">
        <f t="shared" si="9"/>
      </c>
      <c r="G35" s="186">
        <f t="shared" si="10"/>
      </c>
      <c r="H35" s="186">
        <f t="shared" si="2"/>
      </c>
      <c r="I35" s="187">
        <f>IF(B24="","","End of year 2")</f>
      </c>
    </row>
    <row r="36" spans="1:8" ht="15">
      <c r="A36" s="189">
        <f>IF(B36="","","Jan")</f>
      </c>
      <c r="B36">
        <f t="shared" si="6"/>
      </c>
      <c r="C36" s="180">
        <f t="shared" si="8"/>
      </c>
      <c r="D36" s="180">
        <f t="shared" si="7"/>
      </c>
      <c r="E36" s="180">
        <f t="shared" si="1"/>
      </c>
      <c r="F36" s="180">
        <f t="shared" si="9"/>
      </c>
      <c r="G36" s="180">
        <f t="shared" si="10"/>
      </c>
      <c r="H36" s="180">
        <f t="shared" si="2"/>
      </c>
    </row>
    <row r="37" spans="1:8" ht="15">
      <c r="A37" s="189">
        <f>IF(B37="","","Feb")</f>
      </c>
      <c r="B37">
        <f t="shared" si="6"/>
      </c>
      <c r="C37" s="180">
        <f t="shared" si="8"/>
      </c>
      <c r="D37" s="180">
        <f t="shared" si="7"/>
      </c>
      <c r="E37" s="180">
        <f t="shared" si="1"/>
      </c>
      <c r="F37" s="180">
        <f t="shared" si="9"/>
      </c>
      <c r="G37" s="180">
        <f t="shared" si="10"/>
      </c>
      <c r="H37" s="180">
        <f t="shared" si="2"/>
      </c>
    </row>
    <row r="38" spans="1:8" ht="15">
      <c r="A38" s="189">
        <f>IF(B38="","","Mar")</f>
      </c>
      <c r="B38">
        <f t="shared" si="6"/>
      </c>
      <c r="C38" s="180">
        <f t="shared" si="8"/>
      </c>
      <c r="D38" s="180">
        <f t="shared" si="7"/>
      </c>
      <c r="E38" s="180">
        <f t="shared" si="1"/>
      </c>
      <c r="F38" s="180">
        <f t="shared" si="9"/>
      </c>
      <c r="G38" s="180">
        <f t="shared" si="10"/>
      </c>
      <c r="H38" s="180">
        <f t="shared" si="2"/>
      </c>
    </row>
    <row r="39" spans="1:8" ht="15">
      <c r="A39" s="189">
        <f>IF(B39="","","Apr")</f>
      </c>
      <c r="B39">
        <f t="shared" si="6"/>
      </c>
      <c r="C39" s="180">
        <f t="shared" si="8"/>
      </c>
      <c r="D39" s="180">
        <f t="shared" si="7"/>
      </c>
      <c r="E39" s="180">
        <f t="shared" si="1"/>
      </c>
      <c r="F39" s="180">
        <f t="shared" si="9"/>
      </c>
      <c r="G39" s="180">
        <f t="shared" si="10"/>
      </c>
      <c r="H39" s="180">
        <f t="shared" si="2"/>
      </c>
    </row>
    <row r="40" spans="1:8" ht="15">
      <c r="A40" s="189">
        <f>IF(B40="","","May")</f>
      </c>
      <c r="B40">
        <f t="shared" si="6"/>
      </c>
      <c r="C40" s="180">
        <f t="shared" si="8"/>
      </c>
      <c r="D40" s="180">
        <f t="shared" si="7"/>
      </c>
      <c r="E40" s="180">
        <f t="shared" si="1"/>
      </c>
      <c r="F40" s="180">
        <f t="shared" si="9"/>
      </c>
      <c r="G40" s="180">
        <f t="shared" si="10"/>
      </c>
      <c r="H40" s="180">
        <f t="shared" si="2"/>
      </c>
    </row>
    <row r="41" spans="1:8" ht="15">
      <c r="A41" s="189">
        <f>IF(B41="","","Jun")</f>
      </c>
      <c r="B41">
        <f t="shared" si="6"/>
      </c>
      <c r="C41" s="180">
        <f t="shared" si="8"/>
      </c>
      <c r="D41" s="180">
        <f t="shared" si="7"/>
      </c>
      <c r="E41" s="180">
        <f t="shared" si="1"/>
      </c>
      <c r="F41" s="180">
        <f t="shared" si="9"/>
      </c>
      <c r="G41" s="180">
        <f t="shared" si="10"/>
      </c>
      <c r="H41" s="180">
        <f t="shared" si="2"/>
      </c>
    </row>
    <row r="42" spans="1:8" ht="15">
      <c r="A42" s="189">
        <f>IF(B42="","","Jul")</f>
      </c>
      <c r="B42">
        <f t="shared" si="6"/>
      </c>
      <c r="C42" s="180">
        <f t="shared" si="8"/>
      </c>
      <c r="D42" s="180">
        <f t="shared" si="7"/>
      </c>
      <c r="E42" s="180">
        <f t="shared" si="1"/>
      </c>
      <c r="F42" s="180">
        <f t="shared" si="9"/>
      </c>
      <c r="G42" s="180">
        <f t="shared" si="10"/>
      </c>
      <c r="H42" s="180">
        <f t="shared" si="2"/>
      </c>
    </row>
    <row r="43" spans="1:9" ht="15">
      <c r="A43" s="189">
        <f>IF(B43="","","Aug")</f>
      </c>
      <c r="B43">
        <f t="shared" si="6"/>
      </c>
      <c r="C43" s="180">
        <f t="shared" si="8"/>
      </c>
      <c r="D43" s="180">
        <f t="shared" si="7"/>
      </c>
      <c r="E43" s="180">
        <f t="shared" si="1"/>
      </c>
      <c r="F43" s="180">
        <f t="shared" si="9"/>
      </c>
      <c r="G43" s="180">
        <f t="shared" si="10"/>
      </c>
      <c r="H43" s="180">
        <f t="shared" si="2"/>
      </c>
      <c r="I43" s="183">
        <f>IF(B36="","","Principal")</f>
      </c>
    </row>
    <row r="44" spans="1:9" ht="15">
      <c r="A44" s="189">
        <f>IF(B44="","","Sep")</f>
      </c>
      <c r="B44">
        <f t="shared" si="6"/>
      </c>
      <c r="C44" s="180">
        <f t="shared" si="8"/>
      </c>
      <c r="D44" s="180">
        <f t="shared" si="7"/>
      </c>
      <c r="E44" s="180">
        <f t="shared" si="1"/>
      </c>
      <c r="F44" s="180">
        <f t="shared" si="9"/>
      </c>
      <c r="G44" s="180">
        <f t="shared" si="10"/>
      </c>
      <c r="H44" s="180">
        <f t="shared" si="2"/>
      </c>
      <c r="I44" s="184">
        <f>IF(B36="","",SUM(E36:E47))</f>
      </c>
    </row>
    <row r="45" spans="1:9" ht="15">
      <c r="A45" s="189">
        <f>IF(B45="","","Oct")</f>
      </c>
      <c r="B45">
        <f t="shared" si="6"/>
      </c>
      <c r="C45" s="180">
        <f t="shared" si="8"/>
      </c>
      <c r="D45" s="180">
        <f t="shared" si="7"/>
      </c>
      <c r="E45" s="180">
        <f t="shared" si="1"/>
      </c>
      <c r="F45" s="180">
        <f t="shared" si="9"/>
      </c>
      <c r="G45" s="180">
        <f t="shared" si="10"/>
      </c>
      <c r="H45" s="180">
        <f t="shared" si="2"/>
      </c>
      <c r="I45" s="183">
        <f>IF(B36="","","Interest")</f>
      </c>
    </row>
    <row r="46" spans="1:9" ht="15">
      <c r="A46" s="189">
        <f>IF(B46="","","Nov")</f>
      </c>
      <c r="B46">
        <f t="shared" si="6"/>
      </c>
      <c r="C46" s="180">
        <f aca="true" t="shared" si="11" ref="C46:C61">IF(B46="","",F45)</f>
      </c>
      <c r="D46" s="180">
        <f t="shared" si="7"/>
      </c>
      <c r="E46" s="180">
        <f t="shared" si="1"/>
      </c>
      <c r="F46" s="180">
        <f aca="true" t="shared" si="12" ref="F46:F61">IF(B46="","",C46-E46)</f>
      </c>
      <c r="G46" s="180">
        <f aca="true" t="shared" si="13" ref="G46:G61">IF(B46="","",G45+E46)</f>
      </c>
      <c r="H46" s="180">
        <f t="shared" si="2"/>
      </c>
      <c r="I46" s="184">
        <f>IF(B36="","",SUM(D36:D47))</f>
      </c>
    </row>
    <row r="47" spans="1:9" ht="15">
      <c r="A47" s="190">
        <f>IF(B47="","","Dec")</f>
      </c>
      <c r="B47" s="185">
        <f t="shared" si="6"/>
      </c>
      <c r="C47" s="186">
        <f t="shared" si="11"/>
      </c>
      <c r="D47" s="186">
        <f t="shared" si="7"/>
      </c>
      <c r="E47" s="186">
        <f t="shared" si="1"/>
      </c>
      <c r="F47" s="186">
        <f t="shared" si="12"/>
      </c>
      <c r="G47" s="186">
        <f t="shared" si="13"/>
      </c>
      <c r="H47" s="186">
        <f t="shared" si="2"/>
      </c>
      <c r="I47" s="185">
        <f>IF(B36="","","End of year 3")</f>
      </c>
    </row>
    <row r="48" spans="1:8" ht="15">
      <c r="A48" s="189">
        <f>IF(B48="","","Jan")</f>
      </c>
      <c r="B48">
        <f t="shared" si="6"/>
      </c>
      <c r="C48" s="180">
        <f t="shared" si="11"/>
      </c>
      <c r="D48" s="180">
        <f t="shared" si="7"/>
      </c>
      <c r="E48" s="180">
        <f t="shared" si="1"/>
      </c>
      <c r="F48" s="180">
        <f t="shared" si="12"/>
      </c>
      <c r="G48" s="180">
        <f t="shared" si="13"/>
      </c>
      <c r="H48" s="180">
        <f t="shared" si="2"/>
      </c>
    </row>
    <row r="49" spans="1:8" ht="15">
      <c r="A49" s="189">
        <f>IF(B49="","","Feb")</f>
      </c>
      <c r="B49">
        <f t="shared" si="6"/>
      </c>
      <c r="C49" s="180">
        <f t="shared" si="11"/>
      </c>
      <c r="D49" s="180">
        <f t="shared" si="7"/>
      </c>
      <c r="E49" s="180">
        <f t="shared" si="1"/>
      </c>
      <c r="F49" s="180">
        <f t="shared" si="12"/>
      </c>
      <c r="G49" s="180">
        <f t="shared" si="13"/>
      </c>
      <c r="H49" s="180">
        <f t="shared" si="2"/>
      </c>
    </row>
    <row r="50" spans="1:8" ht="15">
      <c r="A50" s="189">
        <f>IF(B50="","","Mar")</f>
      </c>
      <c r="B50">
        <f t="shared" si="6"/>
      </c>
      <c r="C50" s="180">
        <f t="shared" si="11"/>
      </c>
      <c r="D50" s="180">
        <f t="shared" si="7"/>
      </c>
      <c r="E50" s="180">
        <f t="shared" si="1"/>
      </c>
      <c r="F50" s="180">
        <f t="shared" si="12"/>
      </c>
      <c r="G50" s="180">
        <f t="shared" si="13"/>
      </c>
      <c r="H50" s="180">
        <f t="shared" si="2"/>
      </c>
    </row>
    <row r="51" spans="1:8" ht="15">
      <c r="A51" s="189">
        <f>IF(B51="","","Apr")</f>
      </c>
      <c r="B51">
        <f t="shared" si="6"/>
      </c>
      <c r="C51" s="180">
        <f t="shared" si="11"/>
      </c>
      <c r="D51" s="180">
        <f t="shared" si="7"/>
      </c>
      <c r="E51" s="180">
        <f t="shared" si="1"/>
      </c>
      <c r="F51" s="180">
        <f t="shared" si="12"/>
      </c>
      <c r="G51" s="180">
        <f t="shared" si="13"/>
      </c>
      <c r="H51" s="180">
        <f t="shared" si="2"/>
      </c>
    </row>
    <row r="52" spans="1:8" ht="15">
      <c r="A52" s="189">
        <f>IF(B52="","","May")</f>
      </c>
      <c r="B52">
        <f t="shared" si="6"/>
      </c>
      <c r="C52" s="180">
        <f t="shared" si="11"/>
      </c>
      <c r="D52" s="180">
        <f t="shared" si="7"/>
      </c>
      <c r="E52" s="180">
        <f t="shared" si="1"/>
      </c>
      <c r="F52" s="180">
        <f t="shared" si="12"/>
      </c>
      <c r="G52" s="180">
        <f t="shared" si="13"/>
      </c>
      <c r="H52" s="180">
        <f t="shared" si="2"/>
      </c>
    </row>
    <row r="53" spans="1:8" ht="15">
      <c r="A53" s="189">
        <f>IF(B53="","","Jun")</f>
      </c>
      <c r="B53">
        <f t="shared" si="6"/>
      </c>
      <c r="C53" s="180">
        <f t="shared" si="11"/>
      </c>
      <c r="D53" s="180">
        <f t="shared" si="7"/>
      </c>
      <c r="E53" s="180">
        <f t="shared" si="1"/>
      </c>
      <c r="F53" s="180">
        <f t="shared" si="12"/>
      </c>
      <c r="G53" s="180">
        <f t="shared" si="13"/>
      </c>
      <c r="H53" s="180">
        <f t="shared" si="2"/>
      </c>
    </row>
    <row r="54" spans="1:8" ht="15">
      <c r="A54" s="189">
        <f>IF(B54="","","Jul")</f>
      </c>
      <c r="B54">
        <f t="shared" si="6"/>
      </c>
      <c r="C54" s="180">
        <f t="shared" si="11"/>
      </c>
      <c r="D54" s="180">
        <f t="shared" si="7"/>
      </c>
      <c r="E54" s="180">
        <f t="shared" si="1"/>
      </c>
      <c r="F54" s="180">
        <f t="shared" si="12"/>
      </c>
      <c r="G54" s="180">
        <f t="shared" si="13"/>
      </c>
      <c r="H54" s="180">
        <f t="shared" si="2"/>
      </c>
    </row>
    <row r="55" spans="1:9" ht="15">
      <c r="A55" s="189">
        <f>IF(B55="","","Aug")</f>
      </c>
      <c r="B55">
        <f t="shared" si="6"/>
      </c>
      <c r="C55" s="180">
        <f t="shared" si="11"/>
      </c>
      <c r="D55" s="180">
        <f t="shared" si="7"/>
      </c>
      <c r="E55" s="180">
        <f t="shared" si="1"/>
      </c>
      <c r="F55" s="180">
        <f t="shared" si="12"/>
      </c>
      <c r="G55" s="180">
        <f t="shared" si="13"/>
      </c>
      <c r="H55" s="180">
        <f t="shared" si="2"/>
      </c>
      <c r="I55" s="183">
        <f>IF(B48="","","Principal")</f>
      </c>
    </row>
    <row r="56" spans="1:9" ht="15">
      <c r="A56" s="189">
        <f>IF(B56="","","Sep")</f>
      </c>
      <c r="B56">
        <f t="shared" si="6"/>
      </c>
      <c r="C56" s="180">
        <f t="shared" si="11"/>
      </c>
      <c r="D56" s="180">
        <f t="shared" si="7"/>
      </c>
      <c r="E56" s="180">
        <f t="shared" si="1"/>
      </c>
      <c r="F56" s="180">
        <f t="shared" si="12"/>
      </c>
      <c r="G56" s="180">
        <f t="shared" si="13"/>
      </c>
      <c r="H56" s="180">
        <f t="shared" si="2"/>
      </c>
      <c r="I56" s="184">
        <f>IF(B48="","",SUM(E48:E59))</f>
      </c>
    </row>
    <row r="57" spans="1:9" ht="15">
      <c r="A57" s="189">
        <f>IF(B57="","","Oct")</f>
      </c>
      <c r="B57">
        <f t="shared" si="6"/>
      </c>
      <c r="C57" s="180">
        <f t="shared" si="11"/>
      </c>
      <c r="D57" s="180">
        <f t="shared" si="7"/>
      </c>
      <c r="E57" s="180">
        <f t="shared" si="1"/>
      </c>
      <c r="F57" s="180">
        <f t="shared" si="12"/>
      </c>
      <c r="G57" s="180">
        <f t="shared" si="13"/>
      </c>
      <c r="H57" s="180">
        <f t="shared" si="2"/>
      </c>
      <c r="I57" s="183">
        <f>IF(B48="","","Interest")</f>
      </c>
    </row>
    <row r="58" spans="1:9" ht="15">
      <c r="A58" s="189">
        <f>IF(B58="","","Nov")</f>
      </c>
      <c r="B58">
        <f t="shared" si="6"/>
      </c>
      <c r="C58" s="180">
        <f t="shared" si="11"/>
      </c>
      <c r="D58" s="180">
        <f t="shared" si="7"/>
      </c>
      <c r="E58" s="180">
        <f t="shared" si="1"/>
      </c>
      <c r="F58" s="180">
        <f t="shared" si="12"/>
      </c>
      <c r="G58" s="180">
        <f t="shared" si="13"/>
      </c>
      <c r="H58" s="180">
        <f t="shared" si="2"/>
      </c>
      <c r="I58" s="184">
        <f>IF(B48="","",SUM(D48:D59))</f>
      </c>
    </row>
    <row r="59" spans="1:9" ht="15">
      <c r="A59" s="190">
        <f>IF(B59="","","Dec")</f>
      </c>
      <c r="B59" s="185">
        <f t="shared" si="6"/>
      </c>
      <c r="C59" s="186">
        <f t="shared" si="11"/>
      </c>
      <c r="D59" s="186">
        <f t="shared" si="7"/>
      </c>
      <c r="E59" s="186">
        <f t="shared" si="1"/>
      </c>
      <c r="F59" s="186">
        <f t="shared" si="12"/>
      </c>
      <c r="G59" s="186">
        <f t="shared" si="13"/>
      </c>
      <c r="H59" s="186">
        <f t="shared" si="2"/>
      </c>
      <c r="I59" s="185">
        <f>IF(B48="","","End of year 4")</f>
      </c>
    </row>
    <row r="60" spans="1:8" ht="15">
      <c r="A60" s="189">
        <f>IF(B60="","","Jan")</f>
      </c>
      <c r="B60">
        <f t="shared" si="6"/>
      </c>
      <c r="C60" s="180">
        <f t="shared" si="11"/>
      </c>
      <c r="D60" s="180">
        <f t="shared" si="7"/>
      </c>
      <c r="E60" s="180">
        <f t="shared" si="1"/>
      </c>
      <c r="F60" s="180">
        <f t="shared" si="12"/>
      </c>
      <c r="G60" s="180">
        <f t="shared" si="13"/>
      </c>
      <c r="H60" s="180">
        <f t="shared" si="2"/>
      </c>
    </row>
    <row r="61" spans="1:8" ht="15">
      <c r="A61" s="189">
        <f>IF(B61="","","Feb")</f>
      </c>
      <c r="B61">
        <f t="shared" si="6"/>
      </c>
      <c r="C61" s="180">
        <f t="shared" si="11"/>
      </c>
      <c r="D61" s="180">
        <f t="shared" si="7"/>
      </c>
      <c r="E61" s="180">
        <f t="shared" si="1"/>
      </c>
      <c r="F61" s="180">
        <f t="shared" si="12"/>
      </c>
      <c r="G61" s="180">
        <f t="shared" si="13"/>
      </c>
      <c r="H61" s="180">
        <f t="shared" si="2"/>
      </c>
    </row>
    <row r="62" spans="1:8" ht="15">
      <c r="A62" s="189">
        <f>IF(B62="","","Mar")</f>
      </c>
      <c r="B62">
        <f t="shared" si="6"/>
      </c>
      <c r="C62" s="180">
        <f aca="true" t="shared" si="14" ref="C62:C77">IF(B62="","",F61)</f>
      </c>
      <c r="D62" s="180">
        <f t="shared" si="7"/>
      </c>
      <c r="E62" s="180">
        <f t="shared" si="1"/>
      </c>
      <c r="F62" s="180">
        <f aca="true" t="shared" si="15" ref="F62:F77">IF(B62="","",C62-E62)</f>
      </c>
      <c r="G62" s="180">
        <f aca="true" t="shared" si="16" ref="G62:G77">IF(B62="","",G61+E62)</f>
      </c>
      <c r="H62" s="180">
        <f t="shared" si="2"/>
      </c>
    </row>
    <row r="63" spans="1:8" ht="15">
      <c r="A63" s="189">
        <f>IF(B63="","","Apr")</f>
      </c>
      <c r="B63">
        <f t="shared" si="6"/>
      </c>
      <c r="C63" s="180">
        <f t="shared" si="14"/>
      </c>
      <c r="D63" s="180">
        <f t="shared" si="7"/>
      </c>
      <c r="E63" s="180">
        <f t="shared" si="1"/>
      </c>
      <c r="F63" s="180">
        <f t="shared" si="15"/>
      </c>
      <c r="G63" s="180">
        <f t="shared" si="16"/>
      </c>
      <c r="H63" s="180">
        <f t="shared" si="2"/>
      </c>
    </row>
    <row r="64" spans="1:8" ht="15">
      <c r="A64" s="189">
        <f>IF(B64="","","May")</f>
      </c>
      <c r="B64">
        <f t="shared" si="6"/>
      </c>
      <c r="C64" s="180">
        <f t="shared" si="14"/>
      </c>
      <c r="D64" s="180">
        <f t="shared" si="7"/>
      </c>
      <c r="E64" s="180">
        <f t="shared" si="1"/>
      </c>
      <c r="F64" s="180">
        <f t="shared" si="15"/>
      </c>
      <c r="G64" s="180">
        <f t="shared" si="16"/>
      </c>
      <c r="H64" s="180">
        <f t="shared" si="2"/>
      </c>
    </row>
    <row r="65" spans="1:8" ht="15">
      <c r="A65" s="189">
        <f>IF(B65="","","Jun")</f>
      </c>
      <c r="B65">
        <f t="shared" si="6"/>
      </c>
      <c r="C65" s="180">
        <f t="shared" si="14"/>
      </c>
      <c r="D65" s="180">
        <f t="shared" si="7"/>
      </c>
      <c r="E65" s="180">
        <f t="shared" si="1"/>
      </c>
      <c r="F65" s="180">
        <f t="shared" si="15"/>
      </c>
      <c r="G65" s="180">
        <f t="shared" si="16"/>
      </c>
      <c r="H65" s="180">
        <f t="shared" si="2"/>
      </c>
    </row>
    <row r="66" spans="1:8" ht="15">
      <c r="A66" s="189">
        <f>IF(B66="","","Jul")</f>
      </c>
      <c r="B66">
        <f t="shared" si="6"/>
      </c>
      <c r="C66" s="180">
        <f t="shared" si="14"/>
      </c>
      <c r="D66" s="180">
        <f t="shared" si="7"/>
      </c>
      <c r="E66" s="180">
        <f t="shared" si="1"/>
      </c>
      <c r="F66" s="180">
        <f t="shared" si="15"/>
      </c>
      <c r="G66" s="180">
        <f t="shared" si="16"/>
      </c>
      <c r="H66" s="180">
        <f t="shared" si="2"/>
      </c>
    </row>
    <row r="67" spans="1:9" ht="15">
      <c r="A67" s="189">
        <f>IF(B67="","","Aug")</f>
      </c>
      <c r="B67">
        <f t="shared" si="6"/>
      </c>
      <c r="C67" s="180">
        <f t="shared" si="14"/>
      </c>
      <c r="D67" s="180">
        <f t="shared" si="7"/>
      </c>
      <c r="E67" s="180">
        <f t="shared" si="1"/>
      </c>
      <c r="F67" s="180">
        <f t="shared" si="15"/>
      </c>
      <c r="G67" s="180">
        <f t="shared" si="16"/>
      </c>
      <c r="H67" s="180">
        <f t="shared" si="2"/>
      </c>
      <c r="I67" s="183">
        <f>IF(B60="","","Principal")</f>
      </c>
    </row>
    <row r="68" spans="1:9" ht="15">
      <c r="A68" s="189">
        <f>IF(B68="","","Sep")</f>
      </c>
      <c r="B68">
        <f t="shared" si="6"/>
      </c>
      <c r="C68" s="180">
        <f t="shared" si="14"/>
      </c>
      <c r="D68" s="180">
        <f t="shared" si="7"/>
      </c>
      <c r="E68" s="180">
        <f t="shared" si="1"/>
      </c>
      <c r="F68" s="180">
        <f t="shared" si="15"/>
      </c>
      <c r="G68" s="180">
        <f t="shared" si="16"/>
      </c>
      <c r="H68" s="180">
        <f t="shared" si="2"/>
      </c>
      <c r="I68" s="184">
        <f>IF(B60="","",SUM(E60:E71))</f>
      </c>
    </row>
    <row r="69" spans="1:9" ht="15">
      <c r="A69" s="189">
        <f>IF(B69="","","Oct")</f>
      </c>
      <c r="B69">
        <f t="shared" si="6"/>
      </c>
      <c r="C69" s="180">
        <f t="shared" si="14"/>
      </c>
      <c r="D69" s="180">
        <f t="shared" si="7"/>
      </c>
      <c r="E69" s="180">
        <f t="shared" si="1"/>
      </c>
      <c r="F69" s="180">
        <f t="shared" si="15"/>
      </c>
      <c r="G69" s="180">
        <f t="shared" si="16"/>
      </c>
      <c r="H69" s="180">
        <f t="shared" si="2"/>
      </c>
      <c r="I69" s="183">
        <f>IF(B60="","","Interest")</f>
      </c>
    </row>
    <row r="70" spans="1:9" ht="15">
      <c r="A70" s="189">
        <f>IF(B70="","","Nov")</f>
      </c>
      <c r="B70">
        <f t="shared" si="6"/>
      </c>
      <c r="C70" s="180">
        <f t="shared" si="14"/>
      </c>
      <c r="D70" s="180">
        <f t="shared" si="7"/>
      </c>
      <c r="E70" s="180">
        <f t="shared" si="1"/>
      </c>
      <c r="F70" s="180">
        <f t="shared" si="15"/>
      </c>
      <c r="G70" s="180">
        <f t="shared" si="16"/>
      </c>
      <c r="H70" s="180">
        <f t="shared" si="2"/>
      </c>
      <c r="I70" s="184">
        <f>IF(B60="","",SUM(D60:D71))</f>
      </c>
    </row>
    <row r="71" spans="1:9" ht="15">
      <c r="A71" s="190">
        <f>IF(B71="","","Dec")</f>
      </c>
      <c r="B71" s="185">
        <f t="shared" si="6"/>
      </c>
      <c r="C71" s="186">
        <f t="shared" si="14"/>
      </c>
      <c r="D71" s="186">
        <f t="shared" si="7"/>
      </c>
      <c r="E71" s="186">
        <f t="shared" si="1"/>
      </c>
      <c r="F71" s="186">
        <f t="shared" si="15"/>
      </c>
      <c r="G71" s="186">
        <f t="shared" si="16"/>
      </c>
      <c r="H71" s="186">
        <f t="shared" si="2"/>
      </c>
      <c r="I71" s="185">
        <f>IF(B60="","","End of year 5")</f>
      </c>
    </row>
    <row r="72" spans="1:8" ht="15">
      <c r="A72" s="189">
        <f>IF(B72="","","Jan")</f>
      </c>
      <c r="B72">
        <f t="shared" si="6"/>
      </c>
      <c r="C72" s="180">
        <f t="shared" si="14"/>
      </c>
      <c r="D72" s="180">
        <f t="shared" si="7"/>
      </c>
      <c r="E72" s="180">
        <f t="shared" si="1"/>
      </c>
      <c r="F72" s="180">
        <f t="shared" si="15"/>
      </c>
      <c r="G72" s="180">
        <f t="shared" si="16"/>
      </c>
      <c r="H72" s="180">
        <f t="shared" si="2"/>
      </c>
    </row>
    <row r="73" spans="1:8" ht="15">
      <c r="A73" s="189">
        <f>IF(B73="","","Feb")</f>
      </c>
      <c r="B73">
        <f t="shared" si="6"/>
      </c>
      <c r="C73" s="180">
        <f t="shared" si="14"/>
      </c>
      <c r="D73" s="180">
        <f t="shared" si="7"/>
      </c>
      <c r="E73" s="180">
        <f t="shared" si="1"/>
      </c>
      <c r="F73" s="180">
        <f t="shared" si="15"/>
      </c>
      <c r="G73" s="180">
        <f t="shared" si="16"/>
      </c>
      <c r="H73" s="180">
        <f t="shared" si="2"/>
      </c>
    </row>
    <row r="74" spans="1:8" ht="15">
      <c r="A74" s="189">
        <f>IF(B74="","","Mar")</f>
      </c>
      <c r="B74">
        <f t="shared" si="6"/>
      </c>
      <c r="C74" s="180">
        <f t="shared" si="14"/>
      </c>
      <c r="D74" s="180">
        <f t="shared" si="7"/>
      </c>
      <c r="E74" s="180">
        <f t="shared" si="1"/>
      </c>
      <c r="F74" s="180">
        <f t="shared" si="15"/>
      </c>
      <c r="G74" s="180">
        <f t="shared" si="16"/>
      </c>
      <c r="H74" s="180">
        <f t="shared" si="2"/>
      </c>
    </row>
    <row r="75" spans="1:8" ht="15">
      <c r="A75" s="189">
        <f>IF(B75="","","Apr")</f>
      </c>
      <c r="B75">
        <f t="shared" si="6"/>
      </c>
      <c r="C75" s="180">
        <f t="shared" si="14"/>
      </c>
      <c r="D75" s="180">
        <f t="shared" si="7"/>
      </c>
      <c r="E75" s="180">
        <f t="shared" si="1"/>
      </c>
      <c r="F75" s="180">
        <f t="shared" si="15"/>
      </c>
      <c r="G75" s="180">
        <f t="shared" si="16"/>
      </c>
      <c r="H75" s="180">
        <f t="shared" si="2"/>
      </c>
    </row>
    <row r="76" spans="1:8" ht="15">
      <c r="A76" s="189">
        <f>IF(B76="","","May")</f>
      </c>
      <c r="B76">
        <f t="shared" si="6"/>
      </c>
      <c r="C76" s="180">
        <f t="shared" si="14"/>
      </c>
      <c r="D76" s="180">
        <f t="shared" si="7"/>
      </c>
      <c r="E76" s="180">
        <f t="shared" si="1"/>
      </c>
      <c r="F76" s="180">
        <f t="shared" si="15"/>
      </c>
      <c r="G76" s="180">
        <f t="shared" si="16"/>
      </c>
      <c r="H76" s="180">
        <f t="shared" si="2"/>
      </c>
    </row>
    <row r="77" spans="1:8" ht="15">
      <c r="A77" s="189">
        <f>IF(B77="","","Jun")</f>
      </c>
      <c r="B77">
        <f t="shared" si="6"/>
      </c>
      <c r="C77" s="180">
        <f t="shared" si="14"/>
      </c>
      <c r="D77" s="180">
        <f t="shared" si="7"/>
      </c>
      <c r="E77" s="180">
        <f aca="true" t="shared" si="17" ref="E77:E140">IF(B77="","",IF(C77+D77&lt;($G$3+$C$7),(C77+D77)-D77,($G$3+$C$7)-D77))</f>
      </c>
      <c r="F77" s="180">
        <f t="shared" si="15"/>
      </c>
      <c r="G77" s="180">
        <f t="shared" si="16"/>
      </c>
      <c r="H77" s="180">
        <f aca="true" t="shared" si="18" ref="H77:H140">IF(B77="","",H76+D77)</f>
      </c>
    </row>
    <row r="78" spans="1:8" ht="15">
      <c r="A78" s="189">
        <f>IF(B78="","","Jul")</f>
      </c>
      <c r="B78">
        <f t="shared" si="6"/>
      </c>
      <c r="C78" s="180">
        <f aca="true" t="shared" si="19" ref="C78:C93">IF(B78="","",F77)</f>
      </c>
      <c r="D78" s="180">
        <f t="shared" si="7"/>
      </c>
      <c r="E78" s="180">
        <f t="shared" si="17"/>
      </c>
      <c r="F78" s="180">
        <f aca="true" t="shared" si="20" ref="F78:F93">IF(B78="","",C78-E78)</f>
      </c>
      <c r="G78" s="180">
        <f aca="true" t="shared" si="21" ref="G78:G93">IF(B78="","",G77+E78)</f>
      </c>
      <c r="H78" s="180">
        <f t="shared" si="18"/>
      </c>
    </row>
    <row r="79" spans="1:9" ht="15">
      <c r="A79" s="189">
        <f>IF(B79="","","Aug")</f>
      </c>
      <c r="B79">
        <f t="shared" si="6"/>
      </c>
      <c r="C79" s="180">
        <f t="shared" si="19"/>
      </c>
      <c r="D79" s="180">
        <f t="shared" si="7"/>
      </c>
      <c r="E79" s="180">
        <f t="shared" si="17"/>
      </c>
      <c r="F79" s="180">
        <f t="shared" si="20"/>
      </c>
      <c r="G79" s="180">
        <f t="shared" si="21"/>
      </c>
      <c r="H79" s="180">
        <f t="shared" si="18"/>
      </c>
      <c r="I79" s="183">
        <f>IF(B72="","","Principal")</f>
      </c>
    </row>
    <row r="80" spans="1:9" ht="15">
      <c r="A80" s="189">
        <f>IF(B80="","","Sep")</f>
      </c>
      <c r="B80">
        <f t="shared" si="6"/>
      </c>
      <c r="C80" s="180">
        <f t="shared" si="19"/>
      </c>
      <c r="D80" s="180">
        <f t="shared" si="7"/>
      </c>
      <c r="E80" s="180">
        <f t="shared" si="17"/>
      </c>
      <c r="F80" s="180">
        <f t="shared" si="20"/>
      </c>
      <c r="G80" s="180">
        <f t="shared" si="21"/>
      </c>
      <c r="H80" s="180">
        <f t="shared" si="18"/>
      </c>
      <c r="I80" s="184">
        <f>IF(B72="","",SUM(E72:E83))</f>
      </c>
    </row>
    <row r="81" spans="1:9" ht="15">
      <c r="A81" s="189">
        <f>IF(B81="","","Oct")</f>
      </c>
      <c r="B81">
        <f t="shared" si="6"/>
      </c>
      <c r="C81" s="180">
        <f t="shared" si="19"/>
      </c>
      <c r="D81" s="180">
        <f t="shared" si="7"/>
      </c>
      <c r="E81" s="180">
        <f t="shared" si="17"/>
      </c>
      <c r="F81" s="180">
        <f t="shared" si="20"/>
      </c>
      <c r="G81" s="180">
        <f t="shared" si="21"/>
      </c>
      <c r="H81" s="180">
        <f t="shared" si="18"/>
      </c>
      <c r="I81" s="183">
        <f>IF(B72="","","Interest")</f>
      </c>
    </row>
    <row r="82" spans="1:9" ht="15">
      <c r="A82" s="189">
        <f>IF(B82="","","Nov")</f>
      </c>
      <c r="B82">
        <f t="shared" si="6"/>
      </c>
      <c r="C82" s="180">
        <f t="shared" si="19"/>
      </c>
      <c r="D82" s="180">
        <f t="shared" si="7"/>
      </c>
      <c r="E82" s="180">
        <f t="shared" si="17"/>
      </c>
      <c r="F82" s="180">
        <f t="shared" si="20"/>
      </c>
      <c r="G82" s="180">
        <f t="shared" si="21"/>
      </c>
      <c r="H82" s="180">
        <f t="shared" si="18"/>
      </c>
      <c r="I82" s="184">
        <f>IF(B72="","",SUM(D72:D83))</f>
      </c>
    </row>
    <row r="83" spans="1:9" ht="15">
      <c r="A83" s="190">
        <f>IF(B83="","","Dec")</f>
      </c>
      <c r="B83" s="185">
        <f t="shared" si="6"/>
      </c>
      <c r="C83" s="186">
        <f t="shared" si="19"/>
      </c>
      <c r="D83" s="186">
        <f t="shared" si="7"/>
      </c>
      <c r="E83" s="186">
        <f t="shared" si="17"/>
      </c>
      <c r="F83" s="186">
        <f t="shared" si="20"/>
      </c>
      <c r="G83" s="186">
        <f t="shared" si="21"/>
      </c>
      <c r="H83" s="186">
        <f t="shared" si="18"/>
      </c>
      <c r="I83" s="185">
        <f>IF(B72="","","End of year 6")</f>
      </c>
    </row>
    <row r="84" spans="1:8" ht="15">
      <c r="A84" s="189">
        <f>IF(B84="","","Jan")</f>
      </c>
      <c r="B84">
        <f t="shared" si="6"/>
      </c>
      <c r="C84" s="180">
        <f t="shared" si="19"/>
      </c>
      <c r="D84" s="180">
        <f t="shared" si="7"/>
      </c>
      <c r="E84" s="180">
        <f t="shared" si="17"/>
      </c>
      <c r="F84" s="180">
        <f t="shared" si="20"/>
      </c>
      <c r="G84" s="180">
        <f t="shared" si="21"/>
      </c>
      <c r="H84" s="180">
        <f t="shared" si="18"/>
      </c>
    </row>
    <row r="85" spans="1:8" ht="15">
      <c r="A85" s="189">
        <f>IF(B85="","","Feb")</f>
      </c>
      <c r="B85">
        <f t="shared" si="6"/>
      </c>
      <c r="C85" s="180">
        <f t="shared" si="19"/>
      </c>
      <c r="D85" s="180">
        <f t="shared" si="7"/>
      </c>
      <c r="E85" s="180">
        <f t="shared" si="17"/>
      </c>
      <c r="F85" s="180">
        <f t="shared" si="20"/>
      </c>
      <c r="G85" s="180">
        <f t="shared" si="21"/>
      </c>
      <c r="H85" s="180">
        <f t="shared" si="18"/>
      </c>
    </row>
    <row r="86" spans="1:8" ht="15">
      <c r="A86" s="189">
        <f>IF(B86="","","Mar")</f>
      </c>
      <c r="B86">
        <f t="shared" si="6"/>
      </c>
      <c r="C86" s="180">
        <f t="shared" si="19"/>
      </c>
      <c r="D86" s="180">
        <f t="shared" si="7"/>
      </c>
      <c r="E86" s="180">
        <f t="shared" si="17"/>
      </c>
      <c r="F86" s="180">
        <f t="shared" si="20"/>
      </c>
      <c r="G86" s="180">
        <f t="shared" si="21"/>
      </c>
      <c r="H86" s="180">
        <f t="shared" si="18"/>
      </c>
    </row>
    <row r="87" spans="1:8" ht="15">
      <c r="A87" s="189">
        <f>IF(B87="","","Apr")</f>
      </c>
      <c r="B87">
        <f t="shared" si="6"/>
      </c>
      <c r="C87" s="180">
        <f t="shared" si="19"/>
      </c>
      <c r="D87" s="180">
        <f t="shared" si="7"/>
      </c>
      <c r="E87" s="180">
        <f t="shared" si="17"/>
      </c>
      <c r="F87" s="180">
        <f t="shared" si="20"/>
      </c>
      <c r="G87" s="180">
        <f t="shared" si="21"/>
      </c>
      <c r="H87" s="180">
        <f t="shared" si="18"/>
      </c>
    </row>
    <row r="88" spans="1:8" ht="15">
      <c r="A88" s="189">
        <f>IF(B88="","","May")</f>
      </c>
      <c r="B88">
        <f t="shared" si="6"/>
      </c>
      <c r="C88" s="180">
        <f t="shared" si="19"/>
      </c>
      <c r="D88" s="180">
        <f t="shared" si="7"/>
      </c>
      <c r="E88" s="180">
        <f t="shared" si="17"/>
      </c>
      <c r="F88" s="180">
        <f t="shared" si="20"/>
      </c>
      <c r="G88" s="180">
        <f t="shared" si="21"/>
      </c>
      <c r="H88" s="180">
        <f t="shared" si="18"/>
      </c>
    </row>
    <row r="89" spans="1:8" ht="15">
      <c r="A89" s="189">
        <f>IF(B89="","","Jun")</f>
      </c>
      <c r="B89">
        <f aca="true" t="shared" si="22" ref="B89:B152">IF(B88=ABS($C$5),"",IF(B88="","",IF(G88&gt;=$C$3,"",B88+1)))</f>
      </c>
      <c r="C89" s="180">
        <f t="shared" si="19"/>
      </c>
      <c r="D89" s="180">
        <f t="shared" si="7"/>
      </c>
      <c r="E89" s="180">
        <f t="shared" si="17"/>
      </c>
      <c r="F89" s="180">
        <f t="shared" si="20"/>
      </c>
      <c r="G89" s="180">
        <f t="shared" si="21"/>
      </c>
      <c r="H89" s="180">
        <f t="shared" si="18"/>
      </c>
    </row>
    <row r="90" spans="1:8" ht="15">
      <c r="A90" s="189">
        <f>IF(B90="","","Jul")</f>
      </c>
      <c r="B90">
        <f t="shared" si="22"/>
      </c>
      <c r="C90" s="180">
        <f t="shared" si="19"/>
      </c>
      <c r="D90" s="180">
        <f aca="true" t="shared" si="23" ref="D90:D153">IF(B90="","",C90*(($C$4/100)/12))</f>
      </c>
      <c r="E90" s="180">
        <f t="shared" si="17"/>
      </c>
      <c r="F90" s="180">
        <f t="shared" si="20"/>
      </c>
      <c r="G90" s="180">
        <f t="shared" si="21"/>
      </c>
      <c r="H90" s="180">
        <f t="shared" si="18"/>
      </c>
    </row>
    <row r="91" spans="1:9" ht="15">
      <c r="A91" s="189">
        <f>IF(B91="","","Aug")</f>
      </c>
      <c r="B91">
        <f t="shared" si="22"/>
      </c>
      <c r="C91" s="180">
        <f t="shared" si="19"/>
      </c>
      <c r="D91" s="180">
        <f t="shared" si="23"/>
      </c>
      <c r="E91" s="180">
        <f t="shared" si="17"/>
      </c>
      <c r="F91" s="180">
        <f t="shared" si="20"/>
      </c>
      <c r="G91" s="180">
        <f t="shared" si="21"/>
      </c>
      <c r="H91" s="180">
        <f t="shared" si="18"/>
      </c>
      <c r="I91" s="183">
        <f>IF(B84="","","Principal")</f>
      </c>
    </row>
    <row r="92" spans="1:9" ht="15">
      <c r="A92" s="189">
        <f>IF(B92="","","Sep")</f>
      </c>
      <c r="B92">
        <f t="shared" si="22"/>
      </c>
      <c r="C92" s="180">
        <f t="shared" si="19"/>
      </c>
      <c r="D92" s="180">
        <f t="shared" si="23"/>
      </c>
      <c r="E92" s="180">
        <f t="shared" si="17"/>
      </c>
      <c r="F92" s="180">
        <f t="shared" si="20"/>
      </c>
      <c r="G92" s="180">
        <f t="shared" si="21"/>
      </c>
      <c r="H92" s="180">
        <f t="shared" si="18"/>
      </c>
      <c r="I92" s="184">
        <f>IF(B84="","",SUM(E84:E95))</f>
      </c>
    </row>
    <row r="93" spans="1:9" ht="15">
      <c r="A93" s="189">
        <f>IF(B93="","","Oct")</f>
      </c>
      <c r="B93">
        <f t="shared" si="22"/>
      </c>
      <c r="C93" s="180">
        <f t="shared" si="19"/>
      </c>
      <c r="D93" s="180">
        <f t="shared" si="23"/>
      </c>
      <c r="E93" s="180">
        <f t="shared" si="17"/>
      </c>
      <c r="F93" s="180">
        <f t="shared" si="20"/>
      </c>
      <c r="G93" s="180">
        <f t="shared" si="21"/>
      </c>
      <c r="H93" s="180">
        <f t="shared" si="18"/>
      </c>
      <c r="I93" s="183">
        <f>IF(B84="","","Interest")</f>
      </c>
    </row>
    <row r="94" spans="1:9" ht="15">
      <c r="A94" s="189">
        <f>IF(B94="","","Nov")</f>
      </c>
      <c r="B94">
        <f t="shared" si="22"/>
      </c>
      <c r="C94" s="180">
        <f aca="true" t="shared" si="24" ref="C94:C109">IF(B94="","",F93)</f>
      </c>
      <c r="D94" s="180">
        <f t="shared" si="23"/>
      </c>
      <c r="E94" s="180">
        <f t="shared" si="17"/>
      </c>
      <c r="F94" s="180">
        <f aca="true" t="shared" si="25" ref="F94:F109">IF(B94="","",C94-E94)</f>
      </c>
      <c r="G94" s="180">
        <f aca="true" t="shared" si="26" ref="G94:G109">IF(B94="","",G93+E94)</f>
      </c>
      <c r="H94" s="180">
        <f t="shared" si="18"/>
      </c>
      <c r="I94" s="184">
        <f>IF(B84="","",SUM(D84:D95))</f>
      </c>
    </row>
    <row r="95" spans="1:9" ht="15">
      <c r="A95" s="190">
        <f>IF(B95="","","Dec")</f>
      </c>
      <c r="B95" s="185">
        <f t="shared" si="22"/>
      </c>
      <c r="C95" s="186">
        <f t="shared" si="24"/>
      </c>
      <c r="D95" s="186">
        <f t="shared" si="23"/>
      </c>
      <c r="E95" s="186">
        <f t="shared" si="17"/>
      </c>
      <c r="F95" s="186">
        <f t="shared" si="25"/>
      </c>
      <c r="G95" s="186">
        <f t="shared" si="26"/>
      </c>
      <c r="H95" s="186">
        <f t="shared" si="18"/>
      </c>
      <c r="I95" s="185">
        <f>IF(B84="","","End of year 7")</f>
      </c>
    </row>
    <row r="96" spans="1:8" ht="15">
      <c r="A96" s="189">
        <f>IF(B96="","","Jan")</f>
      </c>
      <c r="B96">
        <f t="shared" si="22"/>
      </c>
      <c r="C96" s="180">
        <f t="shared" si="24"/>
      </c>
      <c r="D96" s="180">
        <f t="shared" si="23"/>
      </c>
      <c r="E96" s="180">
        <f t="shared" si="17"/>
      </c>
      <c r="F96" s="180">
        <f t="shared" si="25"/>
      </c>
      <c r="G96" s="180">
        <f t="shared" si="26"/>
      </c>
      <c r="H96" s="180">
        <f t="shared" si="18"/>
      </c>
    </row>
    <row r="97" spans="1:8" ht="15">
      <c r="A97" s="189">
        <f>IF(B97="","","Feb")</f>
      </c>
      <c r="B97">
        <f t="shared" si="22"/>
      </c>
      <c r="C97" s="180">
        <f t="shared" si="24"/>
      </c>
      <c r="D97" s="180">
        <f t="shared" si="23"/>
      </c>
      <c r="E97" s="180">
        <f t="shared" si="17"/>
      </c>
      <c r="F97" s="180">
        <f t="shared" si="25"/>
      </c>
      <c r="G97" s="180">
        <f t="shared" si="26"/>
      </c>
      <c r="H97" s="180">
        <f t="shared" si="18"/>
      </c>
    </row>
    <row r="98" spans="1:8" ht="15">
      <c r="A98" s="189">
        <f>IF(B98="","","Mar")</f>
      </c>
      <c r="B98">
        <f t="shared" si="22"/>
      </c>
      <c r="C98" s="180">
        <f t="shared" si="24"/>
      </c>
      <c r="D98" s="180">
        <f t="shared" si="23"/>
      </c>
      <c r="E98" s="180">
        <f t="shared" si="17"/>
      </c>
      <c r="F98" s="180">
        <f t="shared" si="25"/>
      </c>
      <c r="G98" s="180">
        <f t="shared" si="26"/>
      </c>
      <c r="H98" s="180">
        <f t="shared" si="18"/>
      </c>
    </row>
    <row r="99" spans="1:8" ht="15">
      <c r="A99" s="189">
        <f>IF(B99="","","Apr")</f>
      </c>
      <c r="B99">
        <f t="shared" si="22"/>
      </c>
      <c r="C99" s="180">
        <f t="shared" si="24"/>
      </c>
      <c r="D99" s="180">
        <f t="shared" si="23"/>
      </c>
      <c r="E99" s="180">
        <f t="shared" si="17"/>
      </c>
      <c r="F99" s="180">
        <f t="shared" si="25"/>
      </c>
      <c r="G99" s="180">
        <f t="shared" si="26"/>
      </c>
      <c r="H99" s="180">
        <f t="shared" si="18"/>
      </c>
    </row>
    <row r="100" spans="1:8" ht="15">
      <c r="A100" s="189">
        <f>IF(B100="","","May")</f>
      </c>
      <c r="B100">
        <f t="shared" si="22"/>
      </c>
      <c r="C100" s="180">
        <f t="shared" si="24"/>
      </c>
      <c r="D100" s="180">
        <f t="shared" si="23"/>
      </c>
      <c r="E100" s="180">
        <f t="shared" si="17"/>
      </c>
      <c r="F100" s="180">
        <f t="shared" si="25"/>
      </c>
      <c r="G100" s="180">
        <f t="shared" si="26"/>
      </c>
      <c r="H100" s="180">
        <f t="shared" si="18"/>
      </c>
    </row>
    <row r="101" spans="1:8" ht="15">
      <c r="A101" s="189">
        <f>IF(B101="","","Jun")</f>
      </c>
      <c r="B101">
        <f t="shared" si="22"/>
      </c>
      <c r="C101" s="180">
        <f t="shared" si="24"/>
      </c>
      <c r="D101" s="180">
        <f t="shared" si="23"/>
      </c>
      <c r="E101" s="180">
        <f t="shared" si="17"/>
      </c>
      <c r="F101" s="180">
        <f t="shared" si="25"/>
      </c>
      <c r="G101" s="180">
        <f t="shared" si="26"/>
      </c>
      <c r="H101" s="180">
        <f t="shared" si="18"/>
      </c>
    </row>
    <row r="102" spans="1:8" ht="15">
      <c r="A102" s="189">
        <f>IF(B102="","","Jul")</f>
      </c>
      <c r="B102">
        <f t="shared" si="22"/>
      </c>
      <c r="C102" s="180">
        <f t="shared" si="24"/>
      </c>
      <c r="D102" s="180">
        <f t="shared" si="23"/>
      </c>
      <c r="E102" s="180">
        <f t="shared" si="17"/>
      </c>
      <c r="F102" s="180">
        <f t="shared" si="25"/>
      </c>
      <c r="G102" s="180">
        <f t="shared" si="26"/>
      </c>
      <c r="H102" s="180">
        <f t="shared" si="18"/>
      </c>
    </row>
    <row r="103" spans="1:9" ht="15">
      <c r="A103" s="189">
        <f>IF(B103="","","Aug")</f>
      </c>
      <c r="B103">
        <f t="shared" si="22"/>
      </c>
      <c r="C103" s="180">
        <f t="shared" si="24"/>
      </c>
      <c r="D103" s="180">
        <f t="shared" si="23"/>
      </c>
      <c r="E103" s="180">
        <f t="shared" si="17"/>
      </c>
      <c r="F103" s="180">
        <f t="shared" si="25"/>
      </c>
      <c r="G103" s="180">
        <f t="shared" si="26"/>
      </c>
      <c r="H103" s="180">
        <f t="shared" si="18"/>
      </c>
      <c r="I103" s="183">
        <f>IF(B96="","","Principal")</f>
      </c>
    </row>
    <row r="104" spans="1:9" ht="15">
      <c r="A104" s="189">
        <f>IF(B104="","","Sep")</f>
      </c>
      <c r="B104">
        <f t="shared" si="22"/>
      </c>
      <c r="C104" s="180">
        <f t="shared" si="24"/>
      </c>
      <c r="D104" s="180">
        <f t="shared" si="23"/>
      </c>
      <c r="E104" s="180">
        <f t="shared" si="17"/>
      </c>
      <c r="F104" s="180">
        <f t="shared" si="25"/>
      </c>
      <c r="G104" s="180">
        <f t="shared" si="26"/>
      </c>
      <c r="H104" s="180">
        <f t="shared" si="18"/>
      </c>
      <c r="I104" s="184">
        <f>IF(B96="","",SUM(E96:E107))</f>
      </c>
    </row>
    <row r="105" spans="1:9" ht="15">
      <c r="A105" s="189">
        <f>IF(B105="","","Oct")</f>
      </c>
      <c r="B105">
        <f t="shared" si="22"/>
      </c>
      <c r="C105" s="180">
        <f t="shared" si="24"/>
      </c>
      <c r="D105" s="180">
        <f t="shared" si="23"/>
      </c>
      <c r="E105" s="180">
        <f t="shared" si="17"/>
      </c>
      <c r="F105" s="180">
        <f t="shared" si="25"/>
      </c>
      <c r="G105" s="180">
        <f t="shared" si="26"/>
      </c>
      <c r="H105" s="180">
        <f t="shared" si="18"/>
      </c>
      <c r="I105" s="183">
        <f>IF(B96="","","Interest")</f>
      </c>
    </row>
    <row r="106" spans="1:9" ht="15">
      <c r="A106" s="189">
        <f>IF(B106="","","Nov")</f>
      </c>
      <c r="B106">
        <f t="shared" si="22"/>
      </c>
      <c r="C106" s="180">
        <f t="shared" si="24"/>
      </c>
      <c r="D106" s="180">
        <f t="shared" si="23"/>
      </c>
      <c r="E106" s="180">
        <f t="shared" si="17"/>
      </c>
      <c r="F106" s="180">
        <f t="shared" si="25"/>
      </c>
      <c r="G106" s="180">
        <f t="shared" si="26"/>
      </c>
      <c r="H106" s="180">
        <f t="shared" si="18"/>
      </c>
      <c r="I106" s="184">
        <f>IF(B96="","",SUM(D96:D107))</f>
      </c>
    </row>
    <row r="107" spans="1:9" ht="15">
      <c r="A107" s="190">
        <f>IF(B107="","","Dec")</f>
      </c>
      <c r="B107" s="185">
        <f t="shared" si="22"/>
      </c>
      <c r="C107" s="186">
        <f t="shared" si="24"/>
      </c>
      <c r="D107" s="186">
        <f t="shared" si="23"/>
      </c>
      <c r="E107" s="186">
        <f t="shared" si="17"/>
      </c>
      <c r="F107" s="186">
        <f t="shared" si="25"/>
      </c>
      <c r="G107" s="186">
        <f t="shared" si="26"/>
      </c>
      <c r="H107" s="186">
        <f t="shared" si="18"/>
      </c>
      <c r="I107" s="185">
        <f>IF(B96="","","End of year 8")</f>
      </c>
    </row>
    <row r="108" spans="1:8" ht="15">
      <c r="A108" s="189">
        <f>IF(B108="","","Jan")</f>
      </c>
      <c r="B108">
        <f t="shared" si="22"/>
      </c>
      <c r="C108" s="180">
        <f t="shared" si="24"/>
      </c>
      <c r="D108" s="180">
        <f t="shared" si="23"/>
      </c>
      <c r="E108" s="180">
        <f t="shared" si="17"/>
      </c>
      <c r="F108" s="180">
        <f t="shared" si="25"/>
      </c>
      <c r="G108" s="180">
        <f t="shared" si="26"/>
      </c>
      <c r="H108" s="180">
        <f t="shared" si="18"/>
      </c>
    </row>
    <row r="109" spans="1:8" ht="15">
      <c r="A109" s="189">
        <f>IF(B109="","","Feb")</f>
      </c>
      <c r="B109">
        <f t="shared" si="22"/>
      </c>
      <c r="C109" s="180">
        <f t="shared" si="24"/>
      </c>
      <c r="D109" s="180">
        <f t="shared" si="23"/>
      </c>
      <c r="E109" s="180">
        <f t="shared" si="17"/>
      </c>
      <c r="F109" s="180">
        <f t="shared" si="25"/>
      </c>
      <c r="G109" s="180">
        <f t="shared" si="26"/>
      </c>
      <c r="H109" s="180">
        <f t="shared" si="18"/>
      </c>
    </row>
    <row r="110" spans="1:8" ht="15">
      <c r="A110" s="189">
        <f>IF(B110="","","Mar")</f>
      </c>
      <c r="B110">
        <f t="shared" si="22"/>
      </c>
      <c r="C110" s="180">
        <f aca="true" t="shared" si="27" ref="C110:C125">IF(B110="","",F109)</f>
      </c>
      <c r="D110" s="180">
        <f t="shared" si="23"/>
      </c>
      <c r="E110" s="180">
        <f t="shared" si="17"/>
      </c>
      <c r="F110" s="180">
        <f aca="true" t="shared" si="28" ref="F110:F125">IF(B110="","",C110-E110)</f>
      </c>
      <c r="G110" s="180">
        <f aca="true" t="shared" si="29" ref="G110:G125">IF(B110="","",G109+E110)</f>
      </c>
      <c r="H110" s="180">
        <f t="shared" si="18"/>
      </c>
    </row>
    <row r="111" spans="1:8" ht="15">
      <c r="A111" s="189">
        <f>IF(B111="","","Apr")</f>
      </c>
      <c r="B111">
        <f t="shared" si="22"/>
      </c>
      <c r="C111" s="180">
        <f t="shared" si="27"/>
      </c>
      <c r="D111" s="180">
        <f t="shared" si="23"/>
      </c>
      <c r="E111" s="180">
        <f t="shared" si="17"/>
      </c>
      <c r="F111" s="180">
        <f t="shared" si="28"/>
      </c>
      <c r="G111" s="180">
        <f t="shared" si="29"/>
      </c>
      <c r="H111" s="180">
        <f t="shared" si="18"/>
      </c>
    </row>
    <row r="112" spans="1:8" ht="15">
      <c r="A112" s="189">
        <f>IF(B112="","","May")</f>
      </c>
      <c r="B112">
        <f t="shared" si="22"/>
      </c>
      <c r="C112" s="180">
        <f t="shared" si="27"/>
      </c>
      <c r="D112" s="180">
        <f t="shared" si="23"/>
      </c>
      <c r="E112" s="180">
        <f t="shared" si="17"/>
      </c>
      <c r="F112" s="180">
        <f t="shared" si="28"/>
      </c>
      <c r="G112" s="180">
        <f t="shared" si="29"/>
      </c>
      <c r="H112" s="180">
        <f t="shared" si="18"/>
      </c>
    </row>
    <row r="113" spans="1:8" ht="15">
      <c r="A113" s="189">
        <f>IF(B113="","","Jun")</f>
      </c>
      <c r="B113">
        <f t="shared" si="22"/>
      </c>
      <c r="C113" s="180">
        <f t="shared" si="27"/>
      </c>
      <c r="D113" s="180">
        <f t="shared" si="23"/>
      </c>
      <c r="E113" s="180">
        <f t="shared" si="17"/>
      </c>
      <c r="F113" s="180">
        <f t="shared" si="28"/>
      </c>
      <c r="G113" s="180">
        <f t="shared" si="29"/>
      </c>
      <c r="H113" s="180">
        <f t="shared" si="18"/>
      </c>
    </row>
    <row r="114" spans="1:8" ht="15">
      <c r="A114" s="189">
        <f>IF(B114="","","Jul")</f>
      </c>
      <c r="B114">
        <f t="shared" si="22"/>
      </c>
      <c r="C114" s="180">
        <f t="shared" si="27"/>
      </c>
      <c r="D114" s="180">
        <f t="shared" si="23"/>
      </c>
      <c r="E114" s="180">
        <f t="shared" si="17"/>
      </c>
      <c r="F114" s="180">
        <f t="shared" si="28"/>
      </c>
      <c r="G114" s="180">
        <f t="shared" si="29"/>
      </c>
      <c r="H114" s="180">
        <f t="shared" si="18"/>
      </c>
    </row>
    <row r="115" spans="1:9" ht="15">
      <c r="A115" s="189">
        <f>IF(B115="","","Aug")</f>
      </c>
      <c r="B115">
        <f t="shared" si="22"/>
      </c>
      <c r="C115" s="180">
        <f t="shared" si="27"/>
      </c>
      <c r="D115" s="180">
        <f t="shared" si="23"/>
      </c>
      <c r="E115" s="180">
        <f t="shared" si="17"/>
      </c>
      <c r="F115" s="180">
        <f t="shared" si="28"/>
      </c>
      <c r="G115" s="180">
        <f t="shared" si="29"/>
      </c>
      <c r="H115" s="180">
        <f t="shared" si="18"/>
      </c>
      <c r="I115" s="183">
        <f>IF(B108="","","Principal")</f>
      </c>
    </row>
    <row r="116" spans="1:9" ht="15">
      <c r="A116" s="189">
        <f>IF(B116="","","Sep")</f>
      </c>
      <c r="B116">
        <f t="shared" si="22"/>
      </c>
      <c r="C116" s="180">
        <f t="shared" si="27"/>
      </c>
      <c r="D116" s="180">
        <f t="shared" si="23"/>
      </c>
      <c r="E116" s="180">
        <f t="shared" si="17"/>
      </c>
      <c r="F116" s="180">
        <f t="shared" si="28"/>
      </c>
      <c r="G116" s="180">
        <f t="shared" si="29"/>
      </c>
      <c r="H116" s="180">
        <f t="shared" si="18"/>
      </c>
      <c r="I116" s="184">
        <f>IF(B108="","",SUM(E108:E119))</f>
      </c>
    </row>
    <row r="117" spans="1:9" ht="15">
      <c r="A117" s="189">
        <f>IF(B117="","","Oct")</f>
      </c>
      <c r="B117">
        <f t="shared" si="22"/>
      </c>
      <c r="C117" s="180">
        <f t="shared" si="27"/>
      </c>
      <c r="D117" s="180">
        <f t="shared" si="23"/>
      </c>
      <c r="E117" s="180">
        <f t="shared" si="17"/>
      </c>
      <c r="F117" s="180">
        <f t="shared" si="28"/>
      </c>
      <c r="G117" s="180">
        <f t="shared" si="29"/>
      </c>
      <c r="H117" s="180">
        <f t="shared" si="18"/>
      </c>
      <c r="I117" s="183">
        <f>IF(B108="","","Interest")</f>
      </c>
    </row>
    <row r="118" spans="1:9" ht="15">
      <c r="A118" s="189">
        <f>IF(B118="","","Nov")</f>
      </c>
      <c r="B118">
        <f t="shared" si="22"/>
      </c>
      <c r="C118" s="180">
        <f t="shared" si="27"/>
      </c>
      <c r="D118" s="180">
        <f t="shared" si="23"/>
      </c>
      <c r="E118" s="180">
        <f t="shared" si="17"/>
      </c>
      <c r="F118" s="180">
        <f t="shared" si="28"/>
      </c>
      <c r="G118" s="180">
        <f t="shared" si="29"/>
      </c>
      <c r="H118" s="180">
        <f t="shared" si="18"/>
      </c>
      <c r="I118" s="184">
        <f>IF(B108="","",SUM(D108:D119))</f>
      </c>
    </row>
    <row r="119" spans="1:9" ht="15">
      <c r="A119" s="190">
        <f>IF(B119="","","Dec")</f>
      </c>
      <c r="B119" s="185">
        <f t="shared" si="22"/>
      </c>
      <c r="C119" s="186">
        <f t="shared" si="27"/>
      </c>
      <c r="D119" s="186">
        <f t="shared" si="23"/>
      </c>
      <c r="E119" s="186">
        <f t="shared" si="17"/>
      </c>
      <c r="F119" s="186">
        <f t="shared" si="28"/>
      </c>
      <c r="G119" s="186">
        <f t="shared" si="29"/>
      </c>
      <c r="H119" s="186">
        <f t="shared" si="18"/>
      </c>
      <c r="I119" s="185">
        <f>IF(B108="","","End of year 9")</f>
      </c>
    </row>
    <row r="120" spans="1:8" ht="15">
      <c r="A120" s="189">
        <f>IF(B120="","","Jan")</f>
      </c>
      <c r="B120">
        <f t="shared" si="22"/>
      </c>
      <c r="C120" s="180">
        <f t="shared" si="27"/>
      </c>
      <c r="D120" s="180">
        <f t="shared" si="23"/>
      </c>
      <c r="E120" s="180">
        <f t="shared" si="17"/>
      </c>
      <c r="F120" s="180">
        <f t="shared" si="28"/>
      </c>
      <c r="G120" s="180">
        <f t="shared" si="29"/>
      </c>
      <c r="H120" s="180">
        <f t="shared" si="18"/>
      </c>
    </row>
    <row r="121" spans="1:8" ht="15">
      <c r="A121" s="189">
        <f>IF(B121="","","Feb")</f>
      </c>
      <c r="B121">
        <f t="shared" si="22"/>
      </c>
      <c r="C121" s="180">
        <f t="shared" si="27"/>
      </c>
      <c r="D121" s="180">
        <f t="shared" si="23"/>
      </c>
      <c r="E121" s="180">
        <f t="shared" si="17"/>
      </c>
      <c r="F121" s="180">
        <f t="shared" si="28"/>
      </c>
      <c r="G121" s="180">
        <f t="shared" si="29"/>
      </c>
      <c r="H121" s="180">
        <f t="shared" si="18"/>
      </c>
    </row>
    <row r="122" spans="1:8" ht="15">
      <c r="A122" s="189">
        <f>IF(B122="","","Mar")</f>
      </c>
      <c r="B122">
        <f t="shared" si="22"/>
      </c>
      <c r="C122" s="180">
        <f t="shared" si="27"/>
      </c>
      <c r="D122" s="180">
        <f t="shared" si="23"/>
      </c>
      <c r="E122" s="180">
        <f t="shared" si="17"/>
      </c>
      <c r="F122" s="180">
        <f t="shared" si="28"/>
      </c>
      <c r="G122" s="180">
        <f t="shared" si="29"/>
      </c>
      <c r="H122" s="180">
        <f t="shared" si="18"/>
      </c>
    </row>
    <row r="123" spans="1:8" ht="15">
      <c r="A123" s="189">
        <f>IF(B123="","","Apr")</f>
      </c>
      <c r="B123">
        <f t="shared" si="22"/>
      </c>
      <c r="C123" s="180">
        <f t="shared" si="27"/>
      </c>
      <c r="D123" s="180">
        <f t="shared" si="23"/>
      </c>
      <c r="E123" s="180">
        <f t="shared" si="17"/>
      </c>
      <c r="F123" s="180">
        <f t="shared" si="28"/>
      </c>
      <c r="G123" s="180">
        <f t="shared" si="29"/>
      </c>
      <c r="H123" s="180">
        <f t="shared" si="18"/>
      </c>
    </row>
    <row r="124" spans="1:8" ht="15">
      <c r="A124" s="189">
        <f>IF(B124="","","May")</f>
      </c>
      <c r="B124">
        <f t="shared" si="22"/>
      </c>
      <c r="C124" s="180">
        <f t="shared" si="27"/>
      </c>
      <c r="D124" s="180">
        <f t="shared" si="23"/>
      </c>
      <c r="E124" s="180">
        <f t="shared" si="17"/>
      </c>
      <c r="F124" s="180">
        <f t="shared" si="28"/>
      </c>
      <c r="G124" s="180">
        <f t="shared" si="29"/>
      </c>
      <c r="H124" s="180">
        <f t="shared" si="18"/>
      </c>
    </row>
    <row r="125" spans="1:8" ht="15">
      <c r="A125" s="189">
        <f>IF(B125="","","Jun")</f>
      </c>
      <c r="B125">
        <f t="shared" si="22"/>
      </c>
      <c r="C125" s="180">
        <f t="shared" si="27"/>
      </c>
      <c r="D125" s="180">
        <f t="shared" si="23"/>
      </c>
      <c r="E125" s="180">
        <f t="shared" si="17"/>
      </c>
      <c r="F125" s="180">
        <f t="shared" si="28"/>
      </c>
      <c r="G125" s="180">
        <f t="shared" si="29"/>
      </c>
      <c r="H125" s="180">
        <f t="shared" si="18"/>
      </c>
    </row>
    <row r="126" spans="1:8" ht="15">
      <c r="A126" s="189">
        <f>IF(B126="","","Jul")</f>
      </c>
      <c r="B126">
        <f t="shared" si="22"/>
      </c>
      <c r="C126" s="180">
        <f aca="true" t="shared" si="30" ref="C126:C141">IF(B126="","",F125)</f>
      </c>
      <c r="D126" s="180">
        <f t="shared" si="23"/>
      </c>
      <c r="E126" s="180">
        <f t="shared" si="17"/>
      </c>
      <c r="F126" s="180">
        <f aca="true" t="shared" si="31" ref="F126:F141">IF(B126="","",C126-E126)</f>
      </c>
      <c r="G126" s="180">
        <f aca="true" t="shared" si="32" ref="G126:G141">IF(B126="","",G125+E126)</f>
      </c>
      <c r="H126" s="180">
        <f t="shared" si="18"/>
      </c>
    </row>
    <row r="127" spans="1:9" ht="15">
      <c r="A127" s="189">
        <f>IF(B127="","","Aug")</f>
      </c>
      <c r="B127">
        <f t="shared" si="22"/>
      </c>
      <c r="C127" s="180">
        <f t="shared" si="30"/>
      </c>
      <c r="D127" s="180">
        <f t="shared" si="23"/>
      </c>
      <c r="E127" s="180">
        <f t="shared" si="17"/>
      </c>
      <c r="F127" s="180">
        <f t="shared" si="31"/>
      </c>
      <c r="G127" s="180">
        <f t="shared" si="32"/>
      </c>
      <c r="H127" s="180">
        <f t="shared" si="18"/>
      </c>
      <c r="I127" s="183">
        <f>IF(B120="","","Principal")</f>
      </c>
    </row>
    <row r="128" spans="1:9" ht="15">
      <c r="A128" s="189">
        <f>IF(B128="","","Sep")</f>
      </c>
      <c r="B128">
        <f t="shared" si="22"/>
      </c>
      <c r="C128" s="180">
        <f t="shared" si="30"/>
      </c>
      <c r="D128" s="180">
        <f t="shared" si="23"/>
      </c>
      <c r="E128" s="180">
        <f t="shared" si="17"/>
      </c>
      <c r="F128" s="180">
        <f t="shared" si="31"/>
      </c>
      <c r="G128" s="180">
        <f t="shared" si="32"/>
      </c>
      <c r="H128" s="180">
        <f t="shared" si="18"/>
      </c>
      <c r="I128" s="184">
        <f>IF(B120="","",SUM(E120:E131))</f>
      </c>
    </row>
    <row r="129" spans="1:9" ht="15">
      <c r="A129" s="189">
        <f>IF(B129="","","Oct")</f>
      </c>
      <c r="B129">
        <f t="shared" si="22"/>
      </c>
      <c r="C129" s="180">
        <f t="shared" si="30"/>
      </c>
      <c r="D129" s="180">
        <f t="shared" si="23"/>
      </c>
      <c r="E129" s="180">
        <f t="shared" si="17"/>
      </c>
      <c r="F129" s="180">
        <f t="shared" si="31"/>
      </c>
      <c r="G129" s="180">
        <f t="shared" si="32"/>
      </c>
      <c r="H129" s="180">
        <f t="shared" si="18"/>
      </c>
      <c r="I129" s="183">
        <f>IF(B120="","","Interest")</f>
      </c>
    </row>
    <row r="130" spans="1:9" ht="15">
      <c r="A130" s="189">
        <f>IF(B130="","","Nov")</f>
      </c>
      <c r="B130">
        <f t="shared" si="22"/>
      </c>
      <c r="C130" s="180">
        <f t="shared" si="30"/>
      </c>
      <c r="D130" s="180">
        <f t="shared" si="23"/>
      </c>
      <c r="E130" s="180">
        <f t="shared" si="17"/>
      </c>
      <c r="F130" s="180">
        <f t="shared" si="31"/>
      </c>
      <c r="G130" s="180">
        <f t="shared" si="32"/>
      </c>
      <c r="H130" s="180">
        <f t="shared" si="18"/>
      </c>
      <c r="I130" s="184">
        <f>IF(B120="","",SUM(D120:D131))</f>
      </c>
    </row>
    <row r="131" spans="1:9" ht="15">
      <c r="A131" s="190">
        <f>IF(B131="","","Dec")</f>
      </c>
      <c r="B131" s="185">
        <f t="shared" si="22"/>
      </c>
      <c r="C131" s="186">
        <f t="shared" si="30"/>
      </c>
      <c r="D131" s="186">
        <f t="shared" si="23"/>
      </c>
      <c r="E131" s="186">
        <f t="shared" si="17"/>
      </c>
      <c r="F131" s="186">
        <f t="shared" si="31"/>
      </c>
      <c r="G131" s="186">
        <f t="shared" si="32"/>
      </c>
      <c r="H131" s="186">
        <f t="shared" si="18"/>
      </c>
      <c r="I131" s="185">
        <f>IF(B120="","","End of year 10")</f>
      </c>
    </row>
    <row r="132" spans="1:8" ht="15">
      <c r="A132" s="189">
        <f>IF(B132="","","Jan")</f>
      </c>
      <c r="B132">
        <f t="shared" si="22"/>
      </c>
      <c r="C132" s="180">
        <f t="shared" si="30"/>
      </c>
      <c r="D132" s="180">
        <f t="shared" si="23"/>
      </c>
      <c r="E132" s="180">
        <f t="shared" si="17"/>
      </c>
      <c r="F132" s="180">
        <f t="shared" si="31"/>
      </c>
      <c r="G132" s="180">
        <f t="shared" si="32"/>
      </c>
      <c r="H132" s="180">
        <f t="shared" si="18"/>
      </c>
    </row>
    <row r="133" spans="1:8" ht="15">
      <c r="A133" s="189">
        <f>IF(B133="","","Feb")</f>
      </c>
      <c r="B133">
        <f t="shared" si="22"/>
      </c>
      <c r="C133" s="180">
        <f t="shared" si="30"/>
      </c>
      <c r="D133" s="180">
        <f t="shared" si="23"/>
      </c>
      <c r="E133" s="180">
        <f t="shared" si="17"/>
      </c>
      <c r="F133" s="180">
        <f t="shared" si="31"/>
      </c>
      <c r="G133" s="180">
        <f t="shared" si="32"/>
      </c>
      <c r="H133" s="180">
        <f t="shared" si="18"/>
      </c>
    </row>
    <row r="134" spans="1:8" ht="15">
      <c r="A134" s="189">
        <f>IF(B134="","","Mar")</f>
      </c>
      <c r="B134">
        <f t="shared" si="22"/>
      </c>
      <c r="C134" s="180">
        <f t="shared" si="30"/>
      </c>
      <c r="D134" s="180">
        <f t="shared" si="23"/>
      </c>
      <c r="E134" s="180">
        <f t="shared" si="17"/>
      </c>
      <c r="F134" s="180">
        <f t="shared" si="31"/>
      </c>
      <c r="G134" s="180">
        <f t="shared" si="32"/>
      </c>
      <c r="H134" s="180">
        <f t="shared" si="18"/>
      </c>
    </row>
    <row r="135" spans="1:8" ht="15">
      <c r="A135" s="189">
        <f>IF(B135="","","Apr")</f>
      </c>
      <c r="B135">
        <f t="shared" si="22"/>
      </c>
      <c r="C135" s="180">
        <f t="shared" si="30"/>
      </c>
      <c r="D135" s="180">
        <f t="shared" si="23"/>
      </c>
      <c r="E135" s="180">
        <f t="shared" si="17"/>
      </c>
      <c r="F135" s="180">
        <f t="shared" si="31"/>
      </c>
      <c r="G135" s="180">
        <f t="shared" si="32"/>
      </c>
      <c r="H135" s="180">
        <f t="shared" si="18"/>
      </c>
    </row>
    <row r="136" spans="1:8" ht="15">
      <c r="A136" s="189">
        <f>IF(B136="","","May")</f>
      </c>
      <c r="B136">
        <f t="shared" si="22"/>
      </c>
      <c r="C136" s="180">
        <f t="shared" si="30"/>
      </c>
      <c r="D136" s="180">
        <f t="shared" si="23"/>
      </c>
      <c r="E136" s="180">
        <f t="shared" si="17"/>
      </c>
      <c r="F136" s="180">
        <f t="shared" si="31"/>
      </c>
      <c r="G136" s="180">
        <f t="shared" si="32"/>
      </c>
      <c r="H136" s="180">
        <f t="shared" si="18"/>
      </c>
    </row>
    <row r="137" spans="1:8" ht="15">
      <c r="A137" s="189">
        <f>IF(B137="","","Jun")</f>
      </c>
      <c r="B137">
        <f t="shared" si="22"/>
      </c>
      <c r="C137" s="180">
        <f t="shared" si="30"/>
      </c>
      <c r="D137" s="180">
        <f t="shared" si="23"/>
      </c>
      <c r="E137" s="180">
        <f t="shared" si="17"/>
      </c>
      <c r="F137" s="180">
        <f t="shared" si="31"/>
      </c>
      <c r="G137" s="180">
        <f t="shared" si="32"/>
      </c>
      <c r="H137" s="180">
        <f t="shared" si="18"/>
      </c>
    </row>
    <row r="138" spans="1:8" ht="15">
      <c r="A138" s="189">
        <f>IF(B138="","","Jul")</f>
      </c>
      <c r="B138">
        <f t="shared" si="22"/>
      </c>
      <c r="C138" s="180">
        <f t="shared" si="30"/>
      </c>
      <c r="D138" s="180">
        <f t="shared" si="23"/>
      </c>
      <c r="E138" s="180">
        <f t="shared" si="17"/>
      </c>
      <c r="F138" s="180">
        <f t="shared" si="31"/>
      </c>
      <c r="G138" s="180">
        <f t="shared" si="32"/>
      </c>
      <c r="H138" s="180">
        <f t="shared" si="18"/>
      </c>
    </row>
    <row r="139" spans="1:9" ht="15">
      <c r="A139" s="189">
        <f>IF(B139="","","Aug")</f>
      </c>
      <c r="B139">
        <f t="shared" si="22"/>
      </c>
      <c r="C139" s="180">
        <f t="shared" si="30"/>
      </c>
      <c r="D139" s="180">
        <f t="shared" si="23"/>
      </c>
      <c r="E139" s="180">
        <f t="shared" si="17"/>
      </c>
      <c r="F139" s="180">
        <f t="shared" si="31"/>
      </c>
      <c r="G139" s="180">
        <f t="shared" si="32"/>
      </c>
      <c r="H139" s="180">
        <f t="shared" si="18"/>
      </c>
      <c r="I139" s="183">
        <f>IF(B132="","","Principal")</f>
      </c>
    </row>
    <row r="140" spans="1:9" ht="15">
      <c r="A140" s="189">
        <f>IF(B140="","","Sep")</f>
      </c>
      <c r="B140">
        <f t="shared" si="22"/>
      </c>
      <c r="C140" s="180">
        <f t="shared" si="30"/>
      </c>
      <c r="D140" s="180">
        <f t="shared" si="23"/>
      </c>
      <c r="E140" s="180">
        <f t="shared" si="17"/>
      </c>
      <c r="F140" s="180">
        <f t="shared" si="31"/>
      </c>
      <c r="G140" s="180">
        <f t="shared" si="32"/>
      </c>
      <c r="H140" s="180">
        <f t="shared" si="18"/>
      </c>
      <c r="I140" s="184">
        <f>IF(B132="","",SUM(E132:E143))</f>
      </c>
    </row>
    <row r="141" spans="1:9" ht="15">
      <c r="A141" s="189">
        <f>IF(B141="","","Oct")</f>
      </c>
      <c r="B141">
        <f t="shared" si="22"/>
      </c>
      <c r="C141" s="180">
        <f t="shared" si="30"/>
      </c>
      <c r="D141" s="180">
        <f t="shared" si="23"/>
      </c>
      <c r="E141" s="180">
        <f aca="true" t="shared" si="33" ref="E141:E204">IF(B141="","",IF(C141+D141&lt;($G$3+$C$7),(C141+D141)-D141,($G$3+$C$7)-D141))</f>
      </c>
      <c r="F141" s="180">
        <f t="shared" si="31"/>
      </c>
      <c r="G141" s="180">
        <f t="shared" si="32"/>
      </c>
      <c r="H141" s="180">
        <f aca="true" t="shared" si="34" ref="H141:H204">IF(B141="","",H140+D141)</f>
      </c>
      <c r="I141" s="183">
        <f>IF(B132="","","Interest")</f>
      </c>
    </row>
    <row r="142" spans="1:9" ht="15">
      <c r="A142" s="189">
        <f>IF(B142="","","Nov")</f>
      </c>
      <c r="B142">
        <f t="shared" si="22"/>
      </c>
      <c r="C142" s="180">
        <f aca="true" t="shared" si="35" ref="C142:C157">IF(B142="","",F141)</f>
      </c>
      <c r="D142" s="180">
        <f t="shared" si="23"/>
      </c>
      <c r="E142" s="180">
        <f t="shared" si="33"/>
      </c>
      <c r="F142" s="180">
        <f aca="true" t="shared" si="36" ref="F142:F157">IF(B142="","",C142-E142)</f>
      </c>
      <c r="G142" s="180">
        <f aca="true" t="shared" si="37" ref="G142:G157">IF(B142="","",G141+E142)</f>
      </c>
      <c r="H142" s="180">
        <f t="shared" si="34"/>
      </c>
      <c r="I142" s="184">
        <f>IF(B132="","",SUM(D132:D143))</f>
      </c>
    </row>
    <row r="143" spans="1:9" ht="15">
      <c r="A143" s="190">
        <f>IF(B143="","","Dec")</f>
      </c>
      <c r="B143" s="185">
        <f t="shared" si="22"/>
      </c>
      <c r="C143" s="186">
        <f t="shared" si="35"/>
      </c>
      <c r="D143" s="186">
        <f t="shared" si="23"/>
      </c>
      <c r="E143" s="186">
        <f t="shared" si="33"/>
      </c>
      <c r="F143" s="186">
        <f t="shared" si="36"/>
      </c>
      <c r="G143" s="186">
        <f t="shared" si="37"/>
      </c>
      <c r="H143" s="186">
        <f t="shared" si="34"/>
      </c>
      <c r="I143" s="185">
        <f>IF(B132="","","End of year 11")</f>
      </c>
    </row>
    <row r="144" spans="1:8" ht="15">
      <c r="A144" s="189">
        <f>IF(B144="","","Jan")</f>
      </c>
      <c r="B144">
        <f t="shared" si="22"/>
      </c>
      <c r="C144" s="180">
        <f t="shared" si="35"/>
      </c>
      <c r="D144" s="180">
        <f t="shared" si="23"/>
      </c>
      <c r="E144" s="180">
        <f t="shared" si="33"/>
      </c>
      <c r="F144" s="180">
        <f t="shared" si="36"/>
      </c>
      <c r="G144" s="180">
        <f t="shared" si="37"/>
      </c>
      <c r="H144" s="180">
        <f t="shared" si="34"/>
      </c>
    </row>
    <row r="145" spans="1:8" ht="15">
      <c r="A145" s="189">
        <f>IF(B145="","","Feb")</f>
      </c>
      <c r="B145">
        <f t="shared" si="22"/>
      </c>
      <c r="C145" s="180">
        <f t="shared" si="35"/>
      </c>
      <c r="D145" s="180">
        <f t="shared" si="23"/>
      </c>
      <c r="E145" s="180">
        <f t="shared" si="33"/>
      </c>
      <c r="F145" s="180">
        <f t="shared" si="36"/>
      </c>
      <c r="G145" s="180">
        <f t="shared" si="37"/>
      </c>
      <c r="H145" s="180">
        <f t="shared" si="34"/>
      </c>
    </row>
    <row r="146" spans="1:8" ht="15">
      <c r="A146" s="189">
        <f>IF(B146="","","Mar")</f>
      </c>
      <c r="B146">
        <f t="shared" si="22"/>
      </c>
      <c r="C146" s="180">
        <f t="shared" si="35"/>
      </c>
      <c r="D146" s="180">
        <f t="shared" si="23"/>
      </c>
      <c r="E146" s="180">
        <f t="shared" si="33"/>
      </c>
      <c r="F146" s="180">
        <f t="shared" si="36"/>
      </c>
      <c r="G146" s="180">
        <f t="shared" si="37"/>
      </c>
      <c r="H146" s="180">
        <f t="shared" si="34"/>
      </c>
    </row>
    <row r="147" spans="1:8" ht="15">
      <c r="A147" s="189">
        <f>IF(B147="","","Apr")</f>
      </c>
      <c r="B147">
        <f t="shared" si="22"/>
      </c>
      <c r="C147" s="180">
        <f t="shared" si="35"/>
      </c>
      <c r="D147" s="180">
        <f t="shared" si="23"/>
      </c>
      <c r="E147" s="180">
        <f t="shared" si="33"/>
      </c>
      <c r="F147" s="180">
        <f t="shared" si="36"/>
      </c>
      <c r="G147" s="180">
        <f t="shared" si="37"/>
      </c>
      <c r="H147" s="180">
        <f t="shared" si="34"/>
      </c>
    </row>
    <row r="148" spans="1:8" ht="15">
      <c r="A148" s="189">
        <f>IF(B148="","","May")</f>
      </c>
      <c r="B148">
        <f t="shared" si="22"/>
      </c>
      <c r="C148" s="180">
        <f t="shared" si="35"/>
      </c>
      <c r="D148" s="180">
        <f t="shared" si="23"/>
      </c>
      <c r="E148" s="180">
        <f t="shared" si="33"/>
      </c>
      <c r="F148" s="180">
        <f t="shared" si="36"/>
      </c>
      <c r="G148" s="180">
        <f t="shared" si="37"/>
      </c>
      <c r="H148" s="180">
        <f t="shared" si="34"/>
      </c>
    </row>
    <row r="149" spans="1:8" ht="15">
      <c r="A149" s="189">
        <f>IF(B149="","","Jun")</f>
      </c>
      <c r="B149">
        <f t="shared" si="22"/>
      </c>
      <c r="C149" s="180">
        <f t="shared" si="35"/>
      </c>
      <c r="D149" s="180">
        <f t="shared" si="23"/>
      </c>
      <c r="E149" s="180">
        <f t="shared" si="33"/>
      </c>
      <c r="F149" s="180">
        <f t="shared" si="36"/>
      </c>
      <c r="G149" s="180">
        <f t="shared" si="37"/>
      </c>
      <c r="H149" s="180">
        <f t="shared" si="34"/>
      </c>
    </row>
    <row r="150" spans="1:8" ht="15">
      <c r="A150" s="189">
        <f>IF(B150="","","Jul")</f>
      </c>
      <c r="B150">
        <f t="shared" si="22"/>
      </c>
      <c r="C150" s="180">
        <f t="shared" si="35"/>
      </c>
      <c r="D150" s="180">
        <f t="shared" si="23"/>
      </c>
      <c r="E150" s="180">
        <f t="shared" si="33"/>
      </c>
      <c r="F150" s="180">
        <f t="shared" si="36"/>
      </c>
      <c r="G150" s="180">
        <f t="shared" si="37"/>
      </c>
      <c r="H150" s="180">
        <f t="shared" si="34"/>
      </c>
    </row>
    <row r="151" spans="1:9" ht="15">
      <c r="A151" s="189">
        <f>IF(B151="","","Aug")</f>
      </c>
      <c r="B151">
        <f t="shared" si="22"/>
      </c>
      <c r="C151" s="180">
        <f t="shared" si="35"/>
      </c>
      <c r="D151" s="180">
        <f t="shared" si="23"/>
      </c>
      <c r="E151" s="180">
        <f t="shared" si="33"/>
      </c>
      <c r="F151" s="180">
        <f t="shared" si="36"/>
      </c>
      <c r="G151" s="180">
        <f t="shared" si="37"/>
      </c>
      <c r="H151" s="180">
        <f t="shared" si="34"/>
      </c>
      <c r="I151" s="183">
        <f>IF(B144="","","Principal")</f>
      </c>
    </row>
    <row r="152" spans="1:9" ht="15">
      <c r="A152" s="189">
        <f>IF(B152="","","Sep")</f>
      </c>
      <c r="B152">
        <f t="shared" si="22"/>
      </c>
      <c r="C152" s="180">
        <f t="shared" si="35"/>
      </c>
      <c r="D152" s="180">
        <f t="shared" si="23"/>
      </c>
      <c r="E152" s="180">
        <f t="shared" si="33"/>
      </c>
      <c r="F152" s="180">
        <f t="shared" si="36"/>
      </c>
      <c r="G152" s="180">
        <f t="shared" si="37"/>
      </c>
      <c r="H152" s="180">
        <f t="shared" si="34"/>
      </c>
      <c r="I152" s="184">
        <f>IF(B144="","",SUM(E144:E155))</f>
      </c>
    </row>
    <row r="153" spans="1:9" ht="15">
      <c r="A153" s="189">
        <f>IF(B153="","","Oct")</f>
      </c>
      <c r="B153">
        <f aca="true" t="shared" si="38" ref="B153:B216">IF(B152=ABS($C$5),"",IF(B152="","",IF(G152&gt;=$C$3,"",B152+1)))</f>
      </c>
      <c r="C153" s="180">
        <f t="shared" si="35"/>
      </c>
      <c r="D153" s="180">
        <f t="shared" si="23"/>
      </c>
      <c r="E153" s="180">
        <f t="shared" si="33"/>
      </c>
      <c r="F153" s="180">
        <f t="shared" si="36"/>
      </c>
      <c r="G153" s="180">
        <f t="shared" si="37"/>
      </c>
      <c r="H153" s="180">
        <f t="shared" si="34"/>
      </c>
      <c r="I153" s="183">
        <f>IF(B144="","","Interest")</f>
      </c>
    </row>
    <row r="154" spans="1:9" ht="15">
      <c r="A154" s="189">
        <f>IF(B154="","","Nov")</f>
      </c>
      <c r="B154">
        <f t="shared" si="38"/>
      </c>
      <c r="C154" s="180">
        <f t="shared" si="35"/>
      </c>
      <c r="D154" s="180">
        <f aca="true" t="shared" si="39" ref="D154:D217">IF(B154="","",C154*(($C$4/100)/12))</f>
      </c>
      <c r="E154" s="180">
        <f t="shared" si="33"/>
      </c>
      <c r="F154" s="180">
        <f t="shared" si="36"/>
      </c>
      <c r="G154" s="180">
        <f t="shared" si="37"/>
      </c>
      <c r="H154" s="180">
        <f t="shared" si="34"/>
      </c>
      <c r="I154" s="184">
        <f>IF(B144="","",SUM(D144:D155))</f>
      </c>
    </row>
    <row r="155" spans="1:9" ht="15">
      <c r="A155" s="190">
        <f>IF(B155="","","Dec")</f>
      </c>
      <c r="B155" s="185">
        <f t="shared" si="38"/>
      </c>
      <c r="C155" s="186">
        <f t="shared" si="35"/>
      </c>
      <c r="D155" s="186">
        <f t="shared" si="39"/>
      </c>
      <c r="E155" s="186">
        <f t="shared" si="33"/>
      </c>
      <c r="F155" s="186">
        <f t="shared" si="36"/>
      </c>
      <c r="G155" s="186">
        <f t="shared" si="37"/>
      </c>
      <c r="H155" s="186">
        <f t="shared" si="34"/>
      </c>
      <c r="I155" s="185">
        <f>IF(B144="","","End of year 12")</f>
      </c>
    </row>
    <row r="156" spans="1:8" ht="15">
      <c r="A156" s="189">
        <f>IF(B156="","","Jan")</f>
      </c>
      <c r="B156">
        <f t="shared" si="38"/>
      </c>
      <c r="C156" s="180">
        <f t="shared" si="35"/>
      </c>
      <c r="D156" s="180">
        <f t="shared" si="39"/>
      </c>
      <c r="E156" s="180">
        <f t="shared" si="33"/>
      </c>
      <c r="F156" s="180">
        <f t="shared" si="36"/>
      </c>
      <c r="G156" s="180">
        <f t="shared" si="37"/>
      </c>
      <c r="H156" s="180">
        <f t="shared" si="34"/>
      </c>
    </row>
    <row r="157" spans="1:8" ht="15">
      <c r="A157" s="189">
        <f>IF(B157="","","Feb")</f>
      </c>
      <c r="B157">
        <f t="shared" si="38"/>
      </c>
      <c r="C157" s="180">
        <f t="shared" si="35"/>
      </c>
      <c r="D157" s="180">
        <f t="shared" si="39"/>
      </c>
      <c r="E157" s="180">
        <f t="shared" si="33"/>
      </c>
      <c r="F157" s="180">
        <f t="shared" si="36"/>
      </c>
      <c r="G157" s="180">
        <f t="shared" si="37"/>
      </c>
      <c r="H157" s="180">
        <f t="shared" si="34"/>
      </c>
    </row>
    <row r="158" spans="1:8" ht="15">
      <c r="A158" s="189">
        <f>IF(B158="","","Mar")</f>
      </c>
      <c r="B158">
        <f t="shared" si="38"/>
      </c>
      <c r="C158" s="180">
        <f aca="true" t="shared" si="40" ref="C158:C173">IF(B158="","",F157)</f>
      </c>
      <c r="D158" s="180">
        <f t="shared" si="39"/>
      </c>
      <c r="E158" s="180">
        <f t="shared" si="33"/>
      </c>
      <c r="F158" s="180">
        <f aca="true" t="shared" si="41" ref="F158:F173">IF(B158="","",C158-E158)</f>
      </c>
      <c r="G158" s="180">
        <f aca="true" t="shared" si="42" ref="G158:G173">IF(B158="","",G157+E158)</f>
      </c>
      <c r="H158" s="180">
        <f t="shared" si="34"/>
      </c>
    </row>
    <row r="159" spans="1:8" ht="15">
      <c r="A159" s="189">
        <f>IF(B159="","","Apr")</f>
      </c>
      <c r="B159">
        <f t="shared" si="38"/>
      </c>
      <c r="C159" s="180">
        <f t="shared" si="40"/>
      </c>
      <c r="D159" s="180">
        <f t="shared" si="39"/>
      </c>
      <c r="E159" s="180">
        <f t="shared" si="33"/>
      </c>
      <c r="F159" s="180">
        <f t="shared" si="41"/>
      </c>
      <c r="G159" s="180">
        <f t="shared" si="42"/>
      </c>
      <c r="H159" s="180">
        <f t="shared" si="34"/>
      </c>
    </row>
    <row r="160" spans="1:8" ht="15">
      <c r="A160" s="189">
        <f>IF(B160="","","May")</f>
      </c>
      <c r="B160">
        <f t="shared" si="38"/>
      </c>
      <c r="C160" s="180">
        <f t="shared" si="40"/>
      </c>
      <c r="D160" s="180">
        <f t="shared" si="39"/>
      </c>
      <c r="E160" s="180">
        <f t="shared" si="33"/>
      </c>
      <c r="F160" s="180">
        <f t="shared" si="41"/>
      </c>
      <c r="G160" s="180">
        <f t="shared" si="42"/>
      </c>
      <c r="H160" s="180">
        <f t="shared" si="34"/>
      </c>
    </row>
    <row r="161" spans="1:8" ht="15">
      <c r="A161" s="189">
        <f>IF(B161="","","Jun")</f>
      </c>
      <c r="B161">
        <f t="shared" si="38"/>
      </c>
      <c r="C161" s="180">
        <f t="shared" si="40"/>
      </c>
      <c r="D161" s="180">
        <f t="shared" si="39"/>
      </c>
      <c r="E161" s="180">
        <f t="shared" si="33"/>
      </c>
      <c r="F161" s="180">
        <f t="shared" si="41"/>
      </c>
      <c r="G161" s="180">
        <f t="shared" si="42"/>
      </c>
      <c r="H161" s="180">
        <f t="shared" si="34"/>
      </c>
    </row>
    <row r="162" spans="1:8" ht="15">
      <c r="A162" s="189">
        <f>IF(B162="","","Jul")</f>
      </c>
      <c r="B162">
        <f t="shared" si="38"/>
      </c>
      <c r="C162" s="180">
        <f t="shared" si="40"/>
      </c>
      <c r="D162" s="180">
        <f t="shared" si="39"/>
      </c>
      <c r="E162" s="180">
        <f t="shared" si="33"/>
      </c>
      <c r="F162" s="180">
        <f t="shared" si="41"/>
      </c>
      <c r="G162" s="180">
        <f t="shared" si="42"/>
      </c>
      <c r="H162" s="180">
        <f t="shared" si="34"/>
      </c>
    </row>
    <row r="163" spans="1:9" ht="15">
      <c r="A163" s="189">
        <f>IF(B163="","","Aug")</f>
      </c>
      <c r="B163">
        <f t="shared" si="38"/>
      </c>
      <c r="C163" s="180">
        <f t="shared" si="40"/>
      </c>
      <c r="D163" s="180">
        <f t="shared" si="39"/>
      </c>
      <c r="E163" s="180">
        <f t="shared" si="33"/>
      </c>
      <c r="F163" s="180">
        <f t="shared" si="41"/>
      </c>
      <c r="G163" s="180">
        <f t="shared" si="42"/>
      </c>
      <c r="H163" s="180">
        <f t="shared" si="34"/>
      </c>
      <c r="I163" s="183">
        <f>IF(B156="","","Principal")</f>
      </c>
    </row>
    <row r="164" spans="1:9" ht="15">
      <c r="A164" s="189">
        <f>IF(B164="","","Sep")</f>
      </c>
      <c r="B164">
        <f t="shared" si="38"/>
      </c>
      <c r="C164" s="180">
        <f t="shared" si="40"/>
      </c>
      <c r="D164" s="180">
        <f t="shared" si="39"/>
      </c>
      <c r="E164" s="180">
        <f t="shared" si="33"/>
      </c>
      <c r="F164" s="180">
        <f t="shared" si="41"/>
      </c>
      <c r="G164" s="180">
        <f t="shared" si="42"/>
      </c>
      <c r="H164" s="180">
        <f t="shared" si="34"/>
      </c>
      <c r="I164" s="184">
        <f>IF(B156="","",SUM(E156:E167))</f>
      </c>
    </row>
    <row r="165" spans="1:9" ht="15">
      <c r="A165" s="189">
        <f>IF(B165="","","Oct")</f>
      </c>
      <c r="B165">
        <f t="shared" si="38"/>
      </c>
      <c r="C165" s="180">
        <f t="shared" si="40"/>
      </c>
      <c r="D165" s="180">
        <f t="shared" si="39"/>
      </c>
      <c r="E165" s="180">
        <f t="shared" si="33"/>
      </c>
      <c r="F165" s="180">
        <f t="shared" si="41"/>
      </c>
      <c r="G165" s="180">
        <f t="shared" si="42"/>
      </c>
      <c r="H165" s="180">
        <f t="shared" si="34"/>
      </c>
      <c r="I165" s="183">
        <f>IF(B156="","","Interest")</f>
      </c>
    </row>
    <row r="166" spans="1:9" ht="15">
      <c r="A166" s="189">
        <f>IF(B166="","","Nov")</f>
      </c>
      <c r="B166">
        <f t="shared" si="38"/>
      </c>
      <c r="C166" s="180">
        <f t="shared" si="40"/>
      </c>
      <c r="D166" s="180">
        <f t="shared" si="39"/>
      </c>
      <c r="E166" s="180">
        <f t="shared" si="33"/>
      </c>
      <c r="F166" s="180">
        <f t="shared" si="41"/>
      </c>
      <c r="G166" s="180">
        <f t="shared" si="42"/>
      </c>
      <c r="H166" s="180">
        <f t="shared" si="34"/>
      </c>
      <c r="I166" s="184">
        <f>IF(B156="","",SUM(D156:D167))</f>
      </c>
    </row>
    <row r="167" spans="1:9" ht="15">
      <c r="A167" s="190">
        <f>IF(B167="","","Dec")</f>
      </c>
      <c r="B167" s="185">
        <f t="shared" si="38"/>
      </c>
      <c r="C167" s="186">
        <f t="shared" si="40"/>
      </c>
      <c r="D167" s="186">
        <f t="shared" si="39"/>
      </c>
      <c r="E167" s="186">
        <f t="shared" si="33"/>
      </c>
      <c r="F167" s="186">
        <f t="shared" si="41"/>
      </c>
      <c r="G167" s="186">
        <f t="shared" si="42"/>
      </c>
      <c r="H167" s="186">
        <f t="shared" si="34"/>
      </c>
      <c r="I167" s="185">
        <f>IF(B156="","","End of year 13")</f>
      </c>
    </row>
    <row r="168" spans="1:8" ht="15">
      <c r="A168" s="189">
        <f>IF(B168="","","Jan")</f>
      </c>
      <c r="B168">
        <f t="shared" si="38"/>
      </c>
      <c r="C168" s="180">
        <f t="shared" si="40"/>
      </c>
      <c r="D168" s="180">
        <f t="shared" si="39"/>
      </c>
      <c r="E168" s="180">
        <f t="shared" si="33"/>
      </c>
      <c r="F168" s="180">
        <f t="shared" si="41"/>
      </c>
      <c r="G168" s="180">
        <f t="shared" si="42"/>
      </c>
      <c r="H168" s="180">
        <f t="shared" si="34"/>
      </c>
    </row>
    <row r="169" spans="1:8" ht="15">
      <c r="A169" s="189">
        <f>IF(B169="","","Feb")</f>
      </c>
      <c r="B169">
        <f t="shared" si="38"/>
      </c>
      <c r="C169" s="180">
        <f t="shared" si="40"/>
      </c>
      <c r="D169" s="180">
        <f t="shared" si="39"/>
      </c>
      <c r="E169" s="180">
        <f t="shared" si="33"/>
      </c>
      <c r="F169" s="180">
        <f t="shared" si="41"/>
      </c>
      <c r="G169" s="180">
        <f t="shared" si="42"/>
      </c>
      <c r="H169" s="180">
        <f t="shared" si="34"/>
      </c>
    </row>
    <row r="170" spans="1:8" ht="15">
      <c r="A170" s="189">
        <f>IF(B170="","","Mar")</f>
      </c>
      <c r="B170">
        <f t="shared" si="38"/>
      </c>
      <c r="C170" s="180">
        <f t="shared" si="40"/>
      </c>
      <c r="D170" s="180">
        <f t="shared" si="39"/>
      </c>
      <c r="E170" s="180">
        <f t="shared" si="33"/>
      </c>
      <c r="F170" s="180">
        <f t="shared" si="41"/>
      </c>
      <c r="G170" s="180">
        <f t="shared" si="42"/>
      </c>
      <c r="H170" s="180">
        <f t="shared" si="34"/>
      </c>
    </row>
    <row r="171" spans="1:8" ht="15">
      <c r="A171" s="189">
        <f>IF(B171="","","Apr")</f>
      </c>
      <c r="B171">
        <f t="shared" si="38"/>
      </c>
      <c r="C171" s="180">
        <f t="shared" si="40"/>
      </c>
      <c r="D171" s="180">
        <f t="shared" si="39"/>
      </c>
      <c r="E171" s="180">
        <f t="shared" si="33"/>
      </c>
      <c r="F171" s="180">
        <f t="shared" si="41"/>
      </c>
      <c r="G171" s="180">
        <f t="shared" si="42"/>
      </c>
      <c r="H171" s="180">
        <f t="shared" si="34"/>
      </c>
    </row>
    <row r="172" spans="1:8" ht="15">
      <c r="A172" s="189">
        <f>IF(B172="","","May")</f>
      </c>
      <c r="B172">
        <f t="shared" si="38"/>
      </c>
      <c r="C172" s="180">
        <f t="shared" si="40"/>
      </c>
      <c r="D172" s="180">
        <f t="shared" si="39"/>
      </c>
      <c r="E172" s="180">
        <f t="shared" si="33"/>
      </c>
      <c r="F172" s="180">
        <f t="shared" si="41"/>
      </c>
      <c r="G172" s="180">
        <f t="shared" si="42"/>
      </c>
      <c r="H172" s="180">
        <f t="shared" si="34"/>
      </c>
    </row>
    <row r="173" spans="1:8" ht="15">
      <c r="A173" s="189">
        <f>IF(B173="","","Jun")</f>
      </c>
      <c r="B173">
        <f t="shared" si="38"/>
      </c>
      <c r="C173" s="180">
        <f t="shared" si="40"/>
      </c>
      <c r="D173" s="180">
        <f t="shared" si="39"/>
      </c>
      <c r="E173" s="180">
        <f t="shared" si="33"/>
      </c>
      <c r="F173" s="180">
        <f t="shared" si="41"/>
      </c>
      <c r="G173" s="180">
        <f t="shared" si="42"/>
      </c>
      <c r="H173" s="180">
        <f t="shared" si="34"/>
      </c>
    </row>
    <row r="174" spans="1:8" ht="15">
      <c r="A174" s="189">
        <f>IF(B174="","","Jul")</f>
      </c>
      <c r="B174">
        <f t="shared" si="38"/>
      </c>
      <c r="C174" s="180">
        <f aca="true" t="shared" si="43" ref="C174:C189">IF(B174="","",F173)</f>
      </c>
      <c r="D174" s="180">
        <f t="shared" si="39"/>
      </c>
      <c r="E174" s="180">
        <f t="shared" si="33"/>
      </c>
      <c r="F174" s="180">
        <f aca="true" t="shared" si="44" ref="F174:F189">IF(B174="","",C174-E174)</f>
      </c>
      <c r="G174" s="180">
        <f aca="true" t="shared" si="45" ref="G174:G189">IF(B174="","",G173+E174)</f>
      </c>
      <c r="H174" s="180">
        <f t="shared" si="34"/>
      </c>
    </row>
    <row r="175" spans="1:9" ht="15">
      <c r="A175" s="189">
        <f>IF(B175="","","Aug")</f>
      </c>
      <c r="B175">
        <f t="shared" si="38"/>
      </c>
      <c r="C175" s="180">
        <f t="shared" si="43"/>
      </c>
      <c r="D175" s="180">
        <f t="shared" si="39"/>
      </c>
      <c r="E175" s="180">
        <f t="shared" si="33"/>
      </c>
      <c r="F175" s="180">
        <f t="shared" si="44"/>
      </c>
      <c r="G175" s="180">
        <f t="shared" si="45"/>
      </c>
      <c r="H175" s="180">
        <f t="shared" si="34"/>
      </c>
      <c r="I175" s="183">
        <f>IF(B168="","","Principal")</f>
      </c>
    </row>
    <row r="176" spans="1:9" ht="15">
      <c r="A176" s="189">
        <f>IF(B176="","","Sep")</f>
      </c>
      <c r="B176">
        <f t="shared" si="38"/>
      </c>
      <c r="C176" s="180">
        <f t="shared" si="43"/>
      </c>
      <c r="D176" s="180">
        <f t="shared" si="39"/>
      </c>
      <c r="E176" s="180">
        <f t="shared" si="33"/>
      </c>
      <c r="F176" s="180">
        <f t="shared" si="44"/>
      </c>
      <c r="G176" s="180">
        <f t="shared" si="45"/>
      </c>
      <c r="H176" s="180">
        <f t="shared" si="34"/>
      </c>
      <c r="I176" s="184">
        <f>IF(B168="","",SUM(E168:E179))</f>
      </c>
    </row>
    <row r="177" spans="1:9" ht="15">
      <c r="A177" s="189">
        <f>IF(B177="","","Oct")</f>
      </c>
      <c r="B177">
        <f t="shared" si="38"/>
      </c>
      <c r="C177" s="180">
        <f t="shared" si="43"/>
      </c>
      <c r="D177" s="180">
        <f t="shared" si="39"/>
      </c>
      <c r="E177" s="180">
        <f t="shared" si="33"/>
      </c>
      <c r="F177" s="180">
        <f t="shared" si="44"/>
      </c>
      <c r="G177" s="180">
        <f t="shared" si="45"/>
      </c>
      <c r="H177" s="180">
        <f t="shared" si="34"/>
      </c>
      <c r="I177" s="183">
        <f>IF(B168="","","Interest")</f>
      </c>
    </row>
    <row r="178" spans="1:9" ht="15">
      <c r="A178" s="189">
        <f>IF(B178="","","Nov")</f>
      </c>
      <c r="B178">
        <f t="shared" si="38"/>
      </c>
      <c r="C178" s="180">
        <f t="shared" si="43"/>
      </c>
      <c r="D178" s="180">
        <f t="shared" si="39"/>
      </c>
      <c r="E178" s="180">
        <f t="shared" si="33"/>
      </c>
      <c r="F178" s="180">
        <f t="shared" si="44"/>
      </c>
      <c r="G178" s="180">
        <f t="shared" si="45"/>
      </c>
      <c r="H178" s="180">
        <f t="shared" si="34"/>
      </c>
      <c r="I178" s="184">
        <f>IF(B168="","",SUM(D168:D179))</f>
      </c>
    </row>
    <row r="179" spans="1:9" ht="15">
      <c r="A179" s="190">
        <f>IF(B179="","","Dec")</f>
      </c>
      <c r="B179" s="185">
        <f t="shared" si="38"/>
      </c>
      <c r="C179" s="186">
        <f t="shared" si="43"/>
      </c>
      <c r="D179" s="186">
        <f t="shared" si="39"/>
      </c>
      <c r="E179" s="186">
        <f t="shared" si="33"/>
      </c>
      <c r="F179" s="186">
        <f t="shared" si="44"/>
      </c>
      <c r="G179" s="186">
        <f t="shared" si="45"/>
      </c>
      <c r="H179" s="186">
        <f t="shared" si="34"/>
      </c>
      <c r="I179" s="185">
        <f>IF(B168="","","End of year 14")</f>
      </c>
    </row>
    <row r="180" spans="1:8" ht="15">
      <c r="A180" s="189">
        <f>IF(B180="","","Jan")</f>
      </c>
      <c r="B180">
        <f t="shared" si="38"/>
      </c>
      <c r="C180" s="180">
        <f t="shared" si="43"/>
      </c>
      <c r="D180" s="180">
        <f t="shared" si="39"/>
      </c>
      <c r="E180" s="180">
        <f t="shared" si="33"/>
      </c>
      <c r="F180" s="180">
        <f t="shared" si="44"/>
      </c>
      <c r="G180" s="180">
        <f t="shared" si="45"/>
      </c>
      <c r="H180" s="180">
        <f t="shared" si="34"/>
      </c>
    </row>
    <row r="181" spans="1:8" ht="15">
      <c r="A181" s="189">
        <f>IF(B181="","","Feb")</f>
      </c>
      <c r="B181">
        <f t="shared" si="38"/>
      </c>
      <c r="C181" s="180">
        <f t="shared" si="43"/>
      </c>
      <c r="D181" s="180">
        <f t="shared" si="39"/>
      </c>
      <c r="E181" s="180">
        <f t="shared" si="33"/>
      </c>
      <c r="F181" s="180">
        <f t="shared" si="44"/>
      </c>
      <c r="G181" s="180">
        <f t="shared" si="45"/>
      </c>
      <c r="H181" s="180">
        <f t="shared" si="34"/>
      </c>
    </row>
    <row r="182" spans="1:8" ht="15">
      <c r="A182" s="189">
        <f>IF(B182="","","Mar")</f>
      </c>
      <c r="B182">
        <f t="shared" si="38"/>
      </c>
      <c r="C182" s="180">
        <f t="shared" si="43"/>
      </c>
      <c r="D182" s="180">
        <f t="shared" si="39"/>
      </c>
      <c r="E182" s="180">
        <f t="shared" si="33"/>
      </c>
      <c r="F182" s="180">
        <f t="shared" si="44"/>
      </c>
      <c r="G182" s="180">
        <f t="shared" si="45"/>
      </c>
      <c r="H182" s="180">
        <f t="shared" si="34"/>
      </c>
    </row>
    <row r="183" spans="1:8" ht="15">
      <c r="A183" s="189">
        <f>IF(B183="","","Apr")</f>
      </c>
      <c r="B183">
        <f t="shared" si="38"/>
      </c>
      <c r="C183" s="180">
        <f t="shared" si="43"/>
      </c>
      <c r="D183" s="180">
        <f t="shared" si="39"/>
      </c>
      <c r="E183" s="180">
        <f t="shared" si="33"/>
      </c>
      <c r="F183" s="180">
        <f t="shared" si="44"/>
      </c>
      <c r="G183" s="180">
        <f t="shared" si="45"/>
      </c>
      <c r="H183" s="180">
        <f t="shared" si="34"/>
      </c>
    </row>
    <row r="184" spans="1:8" ht="15">
      <c r="A184" s="189">
        <f>IF(B184="","","May")</f>
      </c>
      <c r="B184">
        <f t="shared" si="38"/>
      </c>
      <c r="C184" s="180">
        <f t="shared" si="43"/>
      </c>
      <c r="D184" s="180">
        <f t="shared" si="39"/>
      </c>
      <c r="E184" s="180">
        <f t="shared" si="33"/>
      </c>
      <c r="F184" s="180">
        <f t="shared" si="44"/>
      </c>
      <c r="G184" s="180">
        <f t="shared" si="45"/>
      </c>
      <c r="H184" s="180">
        <f t="shared" si="34"/>
      </c>
    </row>
    <row r="185" spans="1:8" ht="15">
      <c r="A185" s="189">
        <f>IF(B185="","","Jun")</f>
      </c>
      <c r="B185">
        <f t="shared" si="38"/>
      </c>
      <c r="C185" s="180">
        <f t="shared" si="43"/>
      </c>
      <c r="D185" s="180">
        <f t="shared" si="39"/>
      </c>
      <c r="E185" s="180">
        <f t="shared" si="33"/>
      </c>
      <c r="F185" s="180">
        <f t="shared" si="44"/>
      </c>
      <c r="G185" s="180">
        <f t="shared" si="45"/>
      </c>
      <c r="H185" s="180">
        <f t="shared" si="34"/>
      </c>
    </row>
    <row r="186" spans="1:8" ht="15">
      <c r="A186" s="189">
        <f>IF(B186="","","Jul")</f>
      </c>
      <c r="B186">
        <f t="shared" si="38"/>
      </c>
      <c r="C186" s="180">
        <f t="shared" si="43"/>
      </c>
      <c r="D186" s="180">
        <f t="shared" si="39"/>
      </c>
      <c r="E186" s="180">
        <f t="shared" si="33"/>
      </c>
      <c r="F186" s="180">
        <f t="shared" si="44"/>
      </c>
      <c r="G186" s="180">
        <f t="shared" si="45"/>
      </c>
      <c r="H186" s="180">
        <f t="shared" si="34"/>
      </c>
    </row>
    <row r="187" spans="1:9" ht="15">
      <c r="A187" s="189">
        <f>IF(B187="","","Aug")</f>
      </c>
      <c r="B187">
        <f t="shared" si="38"/>
      </c>
      <c r="C187" s="180">
        <f t="shared" si="43"/>
      </c>
      <c r="D187" s="180">
        <f t="shared" si="39"/>
      </c>
      <c r="E187" s="180">
        <f t="shared" si="33"/>
      </c>
      <c r="F187" s="180">
        <f t="shared" si="44"/>
      </c>
      <c r="G187" s="180">
        <f t="shared" si="45"/>
      </c>
      <c r="H187" s="180">
        <f t="shared" si="34"/>
      </c>
      <c r="I187" s="183">
        <f>IF(B180="","","Principal")</f>
      </c>
    </row>
    <row r="188" spans="1:9" ht="15">
      <c r="A188" s="189">
        <f>IF(B188="","","Sep")</f>
      </c>
      <c r="B188">
        <f t="shared" si="38"/>
      </c>
      <c r="C188" s="180">
        <f t="shared" si="43"/>
      </c>
      <c r="D188" s="180">
        <f t="shared" si="39"/>
      </c>
      <c r="E188" s="180">
        <f t="shared" si="33"/>
      </c>
      <c r="F188" s="180">
        <f t="shared" si="44"/>
      </c>
      <c r="G188" s="180">
        <f t="shared" si="45"/>
      </c>
      <c r="H188" s="180">
        <f t="shared" si="34"/>
      </c>
      <c r="I188" s="184">
        <f>IF(B180="","",SUM(E180:E191))</f>
      </c>
    </row>
    <row r="189" spans="1:9" ht="15">
      <c r="A189" s="189">
        <f>IF(B189="","","Oct")</f>
      </c>
      <c r="B189">
        <f t="shared" si="38"/>
      </c>
      <c r="C189" s="180">
        <f t="shared" si="43"/>
      </c>
      <c r="D189" s="180">
        <f t="shared" si="39"/>
      </c>
      <c r="E189" s="180">
        <f t="shared" si="33"/>
      </c>
      <c r="F189" s="180">
        <f t="shared" si="44"/>
      </c>
      <c r="G189" s="180">
        <f t="shared" si="45"/>
      </c>
      <c r="H189" s="180">
        <f t="shared" si="34"/>
      </c>
      <c r="I189" s="183">
        <f>IF(B180="","","Interest")</f>
      </c>
    </row>
    <row r="190" spans="1:9" ht="15">
      <c r="A190" s="189">
        <f>IF(B190="","","Nov")</f>
      </c>
      <c r="B190">
        <f t="shared" si="38"/>
      </c>
      <c r="C190" s="180">
        <f aca="true" t="shared" si="46" ref="C190:C205">IF(B190="","",F189)</f>
      </c>
      <c r="D190" s="180">
        <f t="shared" si="39"/>
      </c>
      <c r="E190" s="180">
        <f t="shared" si="33"/>
      </c>
      <c r="F190" s="180">
        <f aca="true" t="shared" si="47" ref="F190:F205">IF(B190="","",C190-E190)</f>
      </c>
      <c r="G190" s="180">
        <f aca="true" t="shared" si="48" ref="G190:G205">IF(B190="","",G189+E190)</f>
      </c>
      <c r="H190" s="180">
        <f t="shared" si="34"/>
      </c>
      <c r="I190" s="184">
        <f>IF(B180="","",SUM(D180:D191))</f>
      </c>
    </row>
    <row r="191" spans="1:9" ht="15">
      <c r="A191" s="190">
        <f>IF(B191="","","Dec")</f>
      </c>
      <c r="B191" s="185">
        <f t="shared" si="38"/>
      </c>
      <c r="C191" s="186">
        <f t="shared" si="46"/>
      </c>
      <c r="D191" s="186">
        <f t="shared" si="39"/>
      </c>
      <c r="E191" s="186">
        <f t="shared" si="33"/>
      </c>
      <c r="F191" s="186">
        <f t="shared" si="47"/>
      </c>
      <c r="G191" s="186">
        <f t="shared" si="48"/>
      </c>
      <c r="H191" s="186">
        <f t="shared" si="34"/>
      </c>
      <c r="I191" s="185">
        <f>IF(B180="","","End of year 15")</f>
      </c>
    </row>
    <row r="192" spans="1:8" ht="15">
      <c r="A192" s="189">
        <f>IF(B192="","","Jan")</f>
      </c>
      <c r="B192">
        <f t="shared" si="38"/>
      </c>
      <c r="C192" s="180">
        <f t="shared" si="46"/>
      </c>
      <c r="D192" s="180">
        <f t="shared" si="39"/>
      </c>
      <c r="E192" s="180">
        <f t="shared" si="33"/>
      </c>
      <c r="F192" s="180">
        <f t="shared" si="47"/>
      </c>
      <c r="G192" s="180">
        <f t="shared" si="48"/>
      </c>
      <c r="H192" s="180">
        <f t="shared" si="34"/>
      </c>
    </row>
    <row r="193" spans="1:8" ht="15">
      <c r="A193" s="189">
        <f>IF(B193="","","Feb")</f>
      </c>
      <c r="B193">
        <f t="shared" si="38"/>
      </c>
      <c r="C193" s="180">
        <f t="shared" si="46"/>
      </c>
      <c r="D193" s="180">
        <f t="shared" si="39"/>
      </c>
      <c r="E193" s="180">
        <f t="shared" si="33"/>
      </c>
      <c r="F193" s="180">
        <f t="shared" si="47"/>
      </c>
      <c r="G193" s="180">
        <f t="shared" si="48"/>
      </c>
      <c r="H193" s="180">
        <f t="shared" si="34"/>
      </c>
    </row>
    <row r="194" spans="1:8" ht="15">
      <c r="A194" s="189">
        <f>IF(B194="","","Mar")</f>
      </c>
      <c r="B194">
        <f t="shared" si="38"/>
      </c>
      <c r="C194" s="180">
        <f t="shared" si="46"/>
      </c>
      <c r="D194" s="180">
        <f t="shared" si="39"/>
      </c>
      <c r="E194" s="180">
        <f t="shared" si="33"/>
      </c>
      <c r="F194" s="180">
        <f t="shared" si="47"/>
      </c>
      <c r="G194" s="180">
        <f t="shared" si="48"/>
      </c>
      <c r="H194" s="180">
        <f t="shared" si="34"/>
      </c>
    </row>
    <row r="195" spans="1:8" ht="15">
      <c r="A195" s="189">
        <f>IF(B195="","","Apr")</f>
      </c>
      <c r="B195">
        <f t="shared" si="38"/>
      </c>
      <c r="C195" s="180">
        <f t="shared" si="46"/>
      </c>
      <c r="D195" s="180">
        <f t="shared" si="39"/>
      </c>
      <c r="E195" s="180">
        <f t="shared" si="33"/>
      </c>
      <c r="F195" s="180">
        <f t="shared" si="47"/>
      </c>
      <c r="G195" s="180">
        <f t="shared" si="48"/>
      </c>
      <c r="H195" s="180">
        <f t="shared" si="34"/>
      </c>
    </row>
    <row r="196" spans="1:8" ht="15">
      <c r="A196" s="189">
        <f>IF(B196="","","May")</f>
      </c>
      <c r="B196">
        <f t="shared" si="38"/>
      </c>
      <c r="C196" s="180">
        <f t="shared" si="46"/>
      </c>
      <c r="D196" s="180">
        <f t="shared" si="39"/>
      </c>
      <c r="E196" s="180">
        <f t="shared" si="33"/>
      </c>
      <c r="F196" s="180">
        <f t="shared" si="47"/>
      </c>
      <c r="G196" s="180">
        <f t="shared" si="48"/>
      </c>
      <c r="H196" s="180">
        <f t="shared" si="34"/>
      </c>
    </row>
    <row r="197" spans="1:8" ht="15">
      <c r="A197" s="189">
        <f>IF(B197="","","Jun")</f>
      </c>
      <c r="B197">
        <f t="shared" si="38"/>
      </c>
      <c r="C197" s="180">
        <f t="shared" si="46"/>
      </c>
      <c r="D197" s="180">
        <f t="shared" si="39"/>
      </c>
      <c r="E197" s="180">
        <f t="shared" si="33"/>
      </c>
      <c r="F197" s="180">
        <f t="shared" si="47"/>
      </c>
      <c r="G197" s="180">
        <f t="shared" si="48"/>
      </c>
      <c r="H197" s="180">
        <f t="shared" si="34"/>
      </c>
    </row>
    <row r="198" spans="1:8" ht="15">
      <c r="A198" s="189">
        <f>IF(B198="","","Jul")</f>
      </c>
      <c r="B198">
        <f t="shared" si="38"/>
      </c>
      <c r="C198" s="180">
        <f t="shared" si="46"/>
      </c>
      <c r="D198" s="180">
        <f t="shared" si="39"/>
      </c>
      <c r="E198" s="180">
        <f t="shared" si="33"/>
      </c>
      <c r="F198" s="180">
        <f t="shared" si="47"/>
      </c>
      <c r="G198" s="180">
        <f t="shared" si="48"/>
      </c>
      <c r="H198" s="180">
        <f t="shared" si="34"/>
      </c>
    </row>
    <row r="199" spans="1:9" ht="15">
      <c r="A199" s="189">
        <f>IF(B199="","","Aug")</f>
      </c>
      <c r="B199">
        <f t="shared" si="38"/>
      </c>
      <c r="C199" s="180">
        <f t="shared" si="46"/>
      </c>
      <c r="D199" s="180">
        <f t="shared" si="39"/>
      </c>
      <c r="E199" s="180">
        <f t="shared" si="33"/>
      </c>
      <c r="F199" s="180">
        <f t="shared" si="47"/>
      </c>
      <c r="G199" s="180">
        <f t="shared" si="48"/>
      </c>
      <c r="H199" s="180">
        <f t="shared" si="34"/>
      </c>
      <c r="I199" s="183">
        <f>IF(B192="","","Principal")</f>
      </c>
    </row>
    <row r="200" spans="1:9" ht="15">
      <c r="A200" s="189">
        <f>IF(B200="","","Sep")</f>
      </c>
      <c r="B200">
        <f t="shared" si="38"/>
      </c>
      <c r="C200" s="180">
        <f t="shared" si="46"/>
      </c>
      <c r="D200" s="180">
        <f t="shared" si="39"/>
      </c>
      <c r="E200" s="180">
        <f t="shared" si="33"/>
      </c>
      <c r="F200" s="180">
        <f t="shared" si="47"/>
      </c>
      <c r="G200" s="180">
        <f t="shared" si="48"/>
      </c>
      <c r="H200" s="180">
        <f t="shared" si="34"/>
      </c>
      <c r="I200" s="184">
        <f>IF(B192="","",SUM(E192:E203))</f>
      </c>
    </row>
    <row r="201" spans="1:9" ht="15">
      <c r="A201" s="189">
        <f>IF(B201="","","Oct")</f>
      </c>
      <c r="B201">
        <f t="shared" si="38"/>
      </c>
      <c r="C201" s="180">
        <f t="shared" si="46"/>
      </c>
      <c r="D201" s="180">
        <f t="shared" si="39"/>
      </c>
      <c r="E201" s="180">
        <f t="shared" si="33"/>
      </c>
      <c r="F201" s="180">
        <f t="shared" si="47"/>
      </c>
      <c r="G201" s="180">
        <f t="shared" si="48"/>
      </c>
      <c r="H201" s="180">
        <f t="shared" si="34"/>
      </c>
      <c r="I201" s="183">
        <f>IF(B192="","","Interest")</f>
      </c>
    </row>
    <row r="202" spans="1:9" ht="15">
      <c r="A202" s="189">
        <f>IF(B202="","","Nov")</f>
      </c>
      <c r="B202">
        <f t="shared" si="38"/>
      </c>
      <c r="C202" s="180">
        <f t="shared" si="46"/>
      </c>
      <c r="D202" s="180">
        <f t="shared" si="39"/>
      </c>
      <c r="E202" s="180">
        <f t="shared" si="33"/>
      </c>
      <c r="F202" s="180">
        <f t="shared" si="47"/>
      </c>
      <c r="G202" s="180">
        <f t="shared" si="48"/>
      </c>
      <c r="H202" s="180">
        <f t="shared" si="34"/>
      </c>
      <c r="I202" s="184">
        <f>IF(B192="","",SUM(D192:D203))</f>
      </c>
    </row>
    <row r="203" spans="1:9" ht="15">
      <c r="A203" s="190">
        <f>IF(B203="","","Dec")</f>
      </c>
      <c r="B203" s="185">
        <f t="shared" si="38"/>
      </c>
      <c r="C203" s="186">
        <f t="shared" si="46"/>
      </c>
      <c r="D203" s="186">
        <f t="shared" si="39"/>
      </c>
      <c r="E203" s="186">
        <f t="shared" si="33"/>
      </c>
      <c r="F203" s="186">
        <f t="shared" si="47"/>
      </c>
      <c r="G203" s="186">
        <f t="shared" si="48"/>
      </c>
      <c r="H203" s="186">
        <f t="shared" si="34"/>
      </c>
      <c r="I203" s="185">
        <f>IF(B192="","","End of year 16")</f>
      </c>
    </row>
    <row r="204" spans="1:8" ht="15">
      <c r="A204" s="189">
        <f>IF(B204="","","Jan")</f>
      </c>
      <c r="B204">
        <f t="shared" si="38"/>
      </c>
      <c r="C204" s="180">
        <f t="shared" si="46"/>
      </c>
      <c r="D204" s="180">
        <f t="shared" si="39"/>
      </c>
      <c r="E204" s="180">
        <f t="shared" si="33"/>
      </c>
      <c r="F204" s="180">
        <f t="shared" si="47"/>
      </c>
      <c r="G204" s="180">
        <f t="shared" si="48"/>
      </c>
      <c r="H204" s="180">
        <f t="shared" si="34"/>
      </c>
    </row>
    <row r="205" spans="1:8" ht="15">
      <c r="A205" s="189">
        <f>IF(B205="","","Feb")</f>
      </c>
      <c r="B205">
        <f t="shared" si="38"/>
      </c>
      <c r="C205" s="180">
        <f t="shared" si="46"/>
      </c>
      <c r="D205" s="180">
        <f t="shared" si="39"/>
      </c>
      <c r="E205" s="180">
        <f aca="true" t="shared" si="49" ref="E205:E268">IF(B205="","",IF(C205+D205&lt;($G$3+$C$7),(C205+D205)-D205,($G$3+$C$7)-D205))</f>
      </c>
      <c r="F205" s="180">
        <f t="shared" si="47"/>
      </c>
      <c r="G205" s="180">
        <f t="shared" si="48"/>
      </c>
      <c r="H205" s="180">
        <f aca="true" t="shared" si="50" ref="H205:H268">IF(B205="","",H204+D205)</f>
      </c>
    </row>
    <row r="206" spans="1:8" ht="15">
      <c r="A206" s="189">
        <f>IF(B206="","","Mar")</f>
      </c>
      <c r="B206">
        <f t="shared" si="38"/>
      </c>
      <c r="C206" s="180">
        <f aca="true" t="shared" si="51" ref="C206:C221">IF(B206="","",F205)</f>
      </c>
      <c r="D206" s="180">
        <f t="shared" si="39"/>
      </c>
      <c r="E206" s="180">
        <f t="shared" si="49"/>
      </c>
      <c r="F206" s="180">
        <f aca="true" t="shared" si="52" ref="F206:F221">IF(B206="","",C206-E206)</f>
      </c>
      <c r="G206" s="180">
        <f aca="true" t="shared" si="53" ref="G206:G221">IF(B206="","",G205+E206)</f>
      </c>
      <c r="H206" s="180">
        <f t="shared" si="50"/>
      </c>
    </row>
    <row r="207" spans="1:8" ht="15">
      <c r="A207" s="189">
        <f>IF(B207="","","Apr")</f>
      </c>
      <c r="B207">
        <f t="shared" si="38"/>
      </c>
      <c r="C207" s="180">
        <f t="shared" si="51"/>
      </c>
      <c r="D207" s="180">
        <f t="shared" si="39"/>
      </c>
      <c r="E207" s="180">
        <f t="shared" si="49"/>
      </c>
      <c r="F207" s="180">
        <f t="shared" si="52"/>
      </c>
      <c r="G207" s="180">
        <f t="shared" si="53"/>
      </c>
      <c r="H207" s="180">
        <f t="shared" si="50"/>
      </c>
    </row>
    <row r="208" spans="1:8" ht="15">
      <c r="A208" s="189">
        <f>IF(B208="","","May")</f>
      </c>
      <c r="B208">
        <f t="shared" si="38"/>
      </c>
      <c r="C208" s="180">
        <f t="shared" si="51"/>
      </c>
      <c r="D208" s="180">
        <f t="shared" si="39"/>
      </c>
      <c r="E208" s="180">
        <f t="shared" si="49"/>
      </c>
      <c r="F208" s="180">
        <f t="shared" si="52"/>
      </c>
      <c r="G208" s="180">
        <f t="shared" si="53"/>
      </c>
      <c r="H208" s="180">
        <f t="shared" si="50"/>
      </c>
    </row>
    <row r="209" spans="1:8" ht="15">
      <c r="A209" s="189">
        <f>IF(B209="","","Jun")</f>
      </c>
      <c r="B209">
        <f t="shared" si="38"/>
      </c>
      <c r="C209" s="180">
        <f t="shared" si="51"/>
      </c>
      <c r="D209" s="180">
        <f t="shared" si="39"/>
      </c>
      <c r="E209" s="180">
        <f t="shared" si="49"/>
      </c>
      <c r="F209" s="180">
        <f t="shared" si="52"/>
      </c>
      <c r="G209" s="180">
        <f t="shared" si="53"/>
      </c>
      <c r="H209" s="180">
        <f t="shared" si="50"/>
      </c>
    </row>
    <row r="210" spans="1:8" ht="15">
      <c r="A210" s="189">
        <f>IF(B210="","","Jul")</f>
      </c>
      <c r="B210">
        <f t="shared" si="38"/>
      </c>
      <c r="C210" s="180">
        <f t="shared" si="51"/>
      </c>
      <c r="D210" s="180">
        <f t="shared" si="39"/>
      </c>
      <c r="E210" s="180">
        <f t="shared" si="49"/>
      </c>
      <c r="F210" s="180">
        <f t="shared" si="52"/>
      </c>
      <c r="G210" s="180">
        <f t="shared" si="53"/>
      </c>
      <c r="H210" s="180">
        <f t="shared" si="50"/>
      </c>
    </row>
    <row r="211" spans="1:9" ht="15">
      <c r="A211" s="189">
        <f>IF(B211="","","Aug")</f>
      </c>
      <c r="B211">
        <f t="shared" si="38"/>
      </c>
      <c r="C211" s="180">
        <f t="shared" si="51"/>
      </c>
      <c r="D211" s="180">
        <f t="shared" si="39"/>
      </c>
      <c r="E211" s="180">
        <f t="shared" si="49"/>
      </c>
      <c r="F211" s="180">
        <f t="shared" si="52"/>
      </c>
      <c r="G211" s="180">
        <f t="shared" si="53"/>
      </c>
      <c r="H211" s="180">
        <f t="shared" si="50"/>
      </c>
      <c r="I211" s="183">
        <f>IF(B204="","","Principal")</f>
      </c>
    </row>
    <row r="212" spans="1:9" ht="15">
      <c r="A212" s="189">
        <f>IF(B212="","","Sep")</f>
      </c>
      <c r="B212">
        <f t="shared" si="38"/>
      </c>
      <c r="C212" s="180">
        <f t="shared" si="51"/>
      </c>
      <c r="D212" s="180">
        <f t="shared" si="39"/>
      </c>
      <c r="E212" s="180">
        <f t="shared" si="49"/>
      </c>
      <c r="F212" s="180">
        <f t="shared" si="52"/>
      </c>
      <c r="G212" s="180">
        <f t="shared" si="53"/>
      </c>
      <c r="H212" s="180">
        <f t="shared" si="50"/>
      </c>
      <c r="I212" s="184">
        <f>IF(B204="","",SUM(E204:E215))</f>
      </c>
    </row>
    <row r="213" spans="1:9" ht="15">
      <c r="A213" s="189">
        <f>IF(B213="","","Oct")</f>
      </c>
      <c r="B213">
        <f t="shared" si="38"/>
      </c>
      <c r="C213" s="180">
        <f t="shared" si="51"/>
      </c>
      <c r="D213" s="180">
        <f t="shared" si="39"/>
      </c>
      <c r="E213" s="180">
        <f t="shared" si="49"/>
      </c>
      <c r="F213" s="180">
        <f t="shared" si="52"/>
      </c>
      <c r="G213" s="180">
        <f t="shared" si="53"/>
      </c>
      <c r="H213" s="180">
        <f t="shared" si="50"/>
      </c>
      <c r="I213" s="183">
        <f>IF(B204="","","Interest")</f>
      </c>
    </row>
    <row r="214" spans="1:9" ht="15">
      <c r="A214" s="189">
        <f>IF(B214="","","Nov")</f>
      </c>
      <c r="B214">
        <f t="shared" si="38"/>
      </c>
      <c r="C214" s="180">
        <f t="shared" si="51"/>
      </c>
      <c r="D214" s="180">
        <f t="shared" si="39"/>
      </c>
      <c r="E214" s="180">
        <f t="shared" si="49"/>
      </c>
      <c r="F214" s="180">
        <f t="shared" si="52"/>
      </c>
      <c r="G214" s="180">
        <f t="shared" si="53"/>
      </c>
      <c r="H214" s="180">
        <f t="shared" si="50"/>
      </c>
      <c r="I214" s="184">
        <f>IF(B204="","",SUM(D204:D215))</f>
      </c>
    </row>
    <row r="215" spans="1:9" ht="15">
      <c r="A215" s="190">
        <f>IF(B215="","","Dec")</f>
      </c>
      <c r="B215" s="185">
        <f t="shared" si="38"/>
      </c>
      <c r="C215" s="186">
        <f t="shared" si="51"/>
      </c>
      <c r="D215" s="186">
        <f t="shared" si="39"/>
      </c>
      <c r="E215" s="186">
        <f t="shared" si="49"/>
      </c>
      <c r="F215" s="186">
        <f t="shared" si="52"/>
      </c>
      <c r="G215" s="186">
        <f t="shared" si="53"/>
      </c>
      <c r="H215" s="186">
        <f t="shared" si="50"/>
      </c>
      <c r="I215" s="185">
        <f>IF(B204="","","End of year 17")</f>
      </c>
    </row>
    <row r="216" spans="1:8" ht="15">
      <c r="A216" s="189">
        <f>IF(B216="","","Jan")</f>
      </c>
      <c r="B216">
        <f t="shared" si="38"/>
      </c>
      <c r="C216" s="180">
        <f t="shared" si="51"/>
      </c>
      <c r="D216" s="180">
        <f t="shared" si="39"/>
      </c>
      <c r="E216" s="180">
        <f t="shared" si="49"/>
      </c>
      <c r="F216" s="180">
        <f t="shared" si="52"/>
      </c>
      <c r="G216" s="180">
        <f t="shared" si="53"/>
      </c>
      <c r="H216" s="180">
        <f t="shared" si="50"/>
      </c>
    </row>
    <row r="217" spans="1:8" ht="15">
      <c r="A217" s="189">
        <f>IF(B217="","","Feb")</f>
      </c>
      <c r="B217">
        <f aca="true" t="shared" si="54" ref="B217:B280">IF(B216=ABS($C$5),"",IF(B216="","",IF(G216&gt;=$C$3,"",B216+1)))</f>
      </c>
      <c r="C217" s="180">
        <f t="shared" si="51"/>
      </c>
      <c r="D217" s="180">
        <f t="shared" si="39"/>
      </c>
      <c r="E217" s="180">
        <f t="shared" si="49"/>
      </c>
      <c r="F217" s="180">
        <f t="shared" si="52"/>
      </c>
      <c r="G217" s="180">
        <f t="shared" si="53"/>
      </c>
      <c r="H217" s="180">
        <f t="shared" si="50"/>
      </c>
    </row>
    <row r="218" spans="1:8" ht="15">
      <c r="A218" s="189">
        <f>IF(B218="","","Mar")</f>
      </c>
      <c r="B218">
        <f t="shared" si="54"/>
      </c>
      <c r="C218" s="180">
        <f t="shared" si="51"/>
      </c>
      <c r="D218" s="180">
        <f aca="true" t="shared" si="55" ref="D218:D281">IF(B218="","",C218*(($C$4/100)/12))</f>
      </c>
      <c r="E218" s="180">
        <f t="shared" si="49"/>
      </c>
      <c r="F218" s="180">
        <f t="shared" si="52"/>
      </c>
      <c r="G218" s="180">
        <f t="shared" si="53"/>
      </c>
      <c r="H218" s="180">
        <f t="shared" si="50"/>
      </c>
    </row>
    <row r="219" spans="1:8" ht="15">
      <c r="A219" s="189">
        <f>IF(B219="","","Apr")</f>
      </c>
      <c r="B219">
        <f t="shared" si="54"/>
      </c>
      <c r="C219" s="180">
        <f t="shared" si="51"/>
      </c>
      <c r="D219" s="180">
        <f t="shared" si="55"/>
      </c>
      <c r="E219" s="180">
        <f t="shared" si="49"/>
      </c>
      <c r="F219" s="180">
        <f t="shared" si="52"/>
      </c>
      <c r="G219" s="180">
        <f t="shared" si="53"/>
      </c>
      <c r="H219" s="180">
        <f t="shared" si="50"/>
      </c>
    </row>
    <row r="220" spans="1:8" ht="15">
      <c r="A220" s="189">
        <f>IF(B220="","","May")</f>
      </c>
      <c r="B220">
        <f t="shared" si="54"/>
      </c>
      <c r="C220" s="180">
        <f t="shared" si="51"/>
      </c>
      <c r="D220" s="180">
        <f t="shared" si="55"/>
      </c>
      <c r="E220" s="180">
        <f t="shared" si="49"/>
      </c>
      <c r="F220" s="180">
        <f t="shared" si="52"/>
      </c>
      <c r="G220" s="180">
        <f t="shared" si="53"/>
      </c>
      <c r="H220" s="180">
        <f t="shared" si="50"/>
      </c>
    </row>
    <row r="221" spans="1:8" ht="15">
      <c r="A221" s="189">
        <f>IF(B221="","","Jun")</f>
      </c>
      <c r="B221">
        <f t="shared" si="54"/>
      </c>
      <c r="C221" s="180">
        <f t="shared" si="51"/>
      </c>
      <c r="D221" s="180">
        <f t="shared" si="55"/>
      </c>
      <c r="E221" s="180">
        <f t="shared" si="49"/>
      </c>
      <c r="F221" s="180">
        <f t="shared" si="52"/>
      </c>
      <c r="G221" s="180">
        <f t="shared" si="53"/>
      </c>
      <c r="H221" s="180">
        <f t="shared" si="50"/>
      </c>
    </row>
    <row r="222" spans="1:8" ht="15">
      <c r="A222" s="189">
        <f>IF(B222="","","Jul")</f>
      </c>
      <c r="B222">
        <f t="shared" si="54"/>
      </c>
      <c r="C222" s="180">
        <f aca="true" t="shared" si="56" ref="C222:C237">IF(B222="","",F221)</f>
      </c>
      <c r="D222" s="180">
        <f t="shared" si="55"/>
      </c>
      <c r="E222" s="180">
        <f t="shared" si="49"/>
      </c>
      <c r="F222" s="180">
        <f aca="true" t="shared" si="57" ref="F222:F237">IF(B222="","",C222-E222)</f>
      </c>
      <c r="G222" s="180">
        <f aca="true" t="shared" si="58" ref="G222:G237">IF(B222="","",G221+E222)</f>
      </c>
      <c r="H222" s="180">
        <f t="shared" si="50"/>
      </c>
    </row>
    <row r="223" spans="1:9" ht="15">
      <c r="A223" s="189">
        <f>IF(B223="","","Aug")</f>
      </c>
      <c r="B223">
        <f t="shared" si="54"/>
      </c>
      <c r="C223" s="180">
        <f t="shared" si="56"/>
      </c>
      <c r="D223" s="180">
        <f t="shared" si="55"/>
      </c>
      <c r="E223" s="180">
        <f t="shared" si="49"/>
      </c>
      <c r="F223" s="180">
        <f t="shared" si="57"/>
      </c>
      <c r="G223" s="180">
        <f t="shared" si="58"/>
      </c>
      <c r="H223" s="180">
        <f t="shared" si="50"/>
      </c>
      <c r="I223" s="183">
        <f>IF(B216="","","Principal")</f>
      </c>
    </row>
    <row r="224" spans="1:9" ht="15">
      <c r="A224" s="189">
        <f>IF(B224="","","Sep")</f>
      </c>
      <c r="B224">
        <f t="shared" si="54"/>
      </c>
      <c r="C224" s="180">
        <f t="shared" si="56"/>
      </c>
      <c r="D224" s="180">
        <f t="shared" si="55"/>
      </c>
      <c r="E224" s="180">
        <f t="shared" si="49"/>
      </c>
      <c r="F224" s="180">
        <f t="shared" si="57"/>
      </c>
      <c r="G224" s="180">
        <f t="shared" si="58"/>
      </c>
      <c r="H224" s="180">
        <f t="shared" si="50"/>
      </c>
      <c r="I224" s="184">
        <f>IF(B216="","",SUM(E216:E227))</f>
      </c>
    </row>
    <row r="225" spans="1:9" ht="15">
      <c r="A225" s="189">
        <f>IF(B225="","","Oct")</f>
      </c>
      <c r="B225">
        <f t="shared" si="54"/>
      </c>
      <c r="C225" s="180">
        <f t="shared" si="56"/>
      </c>
      <c r="D225" s="180">
        <f t="shared" si="55"/>
      </c>
      <c r="E225" s="180">
        <f t="shared" si="49"/>
      </c>
      <c r="F225" s="180">
        <f t="shared" si="57"/>
      </c>
      <c r="G225" s="180">
        <f t="shared" si="58"/>
      </c>
      <c r="H225" s="180">
        <f t="shared" si="50"/>
      </c>
      <c r="I225" s="183">
        <f>IF(B216="","","Interest")</f>
      </c>
    </row>
    <row r="226" spans="1:9" ht="15">
      <c r="A226" s="189">
        <f>IF(B226="","","Nov")</f>
      </c>
      <c r="B226">
        <f t="shared" si="54"/>
      </c>
      <c r="C226" s="180">
        <f t="shared" si="56"/>
      </c>
      <c r="D226" s="180">
        <f t="shared" si="55"/>
      </c>
      <c r="E226" s="180">
        <f t="shared" si="49"/>
      </c>
      <c r="F226" s="180">
        <f t="shared" si="57"/>
      </c>
      <c r="G226" s="180">
        <f t="shared" si="58"/>
      </c>
      <c r="H226" s="180">
        <f t="shared" si="50"/>
      </c>
      <c r="I226" s="184">
        <f>IF(B216="","",SUM(D216:D227))</f>
      </c>
    </row>
    <row r="227" spans="1:9" ht="15">
      <c r="A227" s="190">
        <f>IF(B227="","","Dec")</f>
      </c>
      <c r="B227" s="185">
        <f t="shared" si="54"/>
      </c>
      <c r="C227" s="186">
        <f t="shared" si="56"/>
      </c>
      <c r="D227" s="186">
        <f t="shared" si="55"/>
      </c>
      <c r="E227" s="186">
        <f t="shared" si="49"/>
      </c>
      <c r="F227" s="186">
        <f t="shared" si="57"/>
      </c>
      <c r="G227" s="186">
        <f t="shared" si="58"/>
      </c>
      <c r="H227" s="186">
        <f t="shared" si="50"/>
      </c>
      <c r="I227" s="185">
        <f>IF(B216="","","End of year 18")</f>
      </c>
    </row>
    <row r="228" spans="1:8" ht="15">
      <c r="A228" s="189">
        <f>IF(B228="","","Jan")</f>
      </c>
      <c r="B228">
        <f t="shared" si="54"/>
      </c>
      <c r="C228" s="180">
        <f t="shared" si="56"/>
      </c>
      <c r="D228" s="180">
        <f t="shared" si="55"/>
      </c>
      <c r="E228" s="180">
        <f t="shared" si="49"/>
      </c>
      <c r="F228" s="180">
        <f t="shared" si="57"/>
      </c>
      <c r="G228" s="180">
        <f t="shared" si="58"/>
      </c>
      <c r="H228" s="180">
        <f t="shared" si="50"/>
      </c>
    </row>
    <row r="229" spans="1:8" ht="15">
      <c r="A229" s="189">
        <f>IF(B229="","","Feb")</f>
      </c>
      <c r="B229">
        <f t="shared" si="54"/>
      </c>
      <c r="C229" s="180">
        <f t="shared" si="56"/>
      </c>
      <c r="D229" s="180">
        <f t="shared" si="55"/>
      </c>
      <c r="E229" s="180">
        <f t="shared" si="49"/>
      </c>
      <c r="F229" s="180">
        <f t="shared" si="57"/>
      </c>
      <c r="G229" s="180">
        <f t="shared" si="58"/>
      </c>
      <c r="H229" s="180">
        <f t="shared" si="50"/>
      </c>
    </row>
    <row r="230" spans="1:8" ht="15">
      <c r="A230" s="189">
        <f>IF(B230="","","Mar")</f>
      </c>
      <c r="B230">
        <f t="shared" si="54"/>
      </c>
      <c r="C230" s="180">
        <f t="shared" si="56"/>
      </c>
      <c r="D230" s="180">
        <f t="shared" si="55"/>
      </c>
      <c r="E230" s="180">
        <f t="shared" si="49"/>
      </c>
      <c r="F230" s="180">
        <f t="shared" si="57"/>
      </c>
      <c r="G230" s="180">
        <f t="shared" si="58"/>
      </c>
      <c r="H230" s="180">
        <f t="shared" si="50"/>
      </c>
    </row>
    <row r="231" spans="1:8" ht="15">
      <c r="A231" s="189">
        <f>IF(B231="","","Apr")</f>
      </c>
      <c r="B231">
        <f t="shared" si="54"/>
      </c>
      <c r="C231" s="180">
        <f t="shared" si="56"/>
      </c>
      <c r="D231" s="180">
        <f t="shared" si="55"/>
      </c>
      <c r="E231" s="180">
        <f t="shared" si="49"/>
      </c>
      <c r="F231" s="180">
        <f t="shared" si="57"/>
      </c>
      <c r="G231" s="180">
        <f t="shared" si="58"/>
      </c>
      <c r="H231" s="180">
        <f t="shared" si="50"/>
      </c>
    </row>
    <row r="232" spans="1:8" ht="15">
      <c r="A232" s="189">
        <f>IF(B232="","","May")</f>
      </c>
      <c r="B232">
        <f t="shared" si="54"/>
      </c>
      <c r="C232" s="180">
        <f t="shared" si="56"/>
      </c>
      <c r="D232" s="180">
        <f t="shared" si="55"/>
      </c>
      <c r="E232" s="180">
        <f t="shared" si="49"/>
      </c>
      <c r="F232" s="180">
        <f t="shared" si="57"/>
      </c>
      <c r="G232" s="180">
        <f t="shared" si="58"/>
      </c>
      <c r="H232" s="180">
        <f t="shared" si="50"/>
      </c>
    </row>
    <row r="233" spans="1:8" ht="15">
      <c r="A233" s="189">
        <f>IF(B233="","","Jun")</f>
      </c>
      <c r="B233">
        <f t="shared" si="54"/>
      </c>
      <c r="C233" s="180">
        <f t="shared" si="56"/>
      </c>
      <c r="D233" s="180">
        <f t="shared" si="55"/>
      </c>
      <c r="E233" s="180">
        <f t="shared" si="49"/>
      </c>
      <c r="F233" s="180">
        <f t="shared" si="57"/>
      </c>
      <c r="G233" s="180">
        <f t="shared" si="58"/>
      </c>
      <c r="H233" s="180">
        <f t="shared" si="50"/>
      </c>
    </row>
    <row r="234" spans="1:8" ht="15">
      <c r="A234" s="189">
        <f>IF(B234="","","Jul")</f>
      </c>
      <c r="B234">
        <f t="shared" si="54"/>
      </c>
      <c r="C234" s="180">
        <f t="shared" si="56"/>
      </c>
      <c r="D234" s="180">
        <f t="shared" si="55"/>
      </c>
      <c r="E234" s="180">
        <f t="shared" si="49"/>
      </c>
      <c r="F234" s="180">
        <f t="shared" si="57"/>
      </c>
      <c r="G234" s="180">
        <f t="shared" si="58"/>
      </c>
      <c r="H234" s="180">
        <f t="shared" si="50"/>
      </c>
    </row>
    <row r="235" spans="1:9" ht="15">
      <c r="A235" s="189">
        <f>IF(B235="","","Aug")</f>
      </c>
      <c r="B235">
        <f t="shared" si="54"/>
      </c>
      <c r="C235" s="180">
        <f t="shared" si="56"/>
      </c>
      <c r="D235" s="180">
        <f t="shared" si="55"/>
      </c>
      <c r="E235" s="180">
        <f t="shared" si="49"/>
      </c>
      <c r="F235" s="180">
        <f t="shared" si="57"/>
      </c>
      <c r="G235" s="180">
        <f t="shared" si="58"/>
      </c>
      <c r="H235" s="180">
        <f t="shared" si="50"/>
      </c>
      <c r="I235" s="183">
        <f>IF(B228="","","Principal")</f>
      </c>
    </row>
    <row r="236" spans="1:9" ht="15">
      <c r="A236" s="189">
        <f>IF(B236="","","Sep")</f>
      </c>
      <c r="B236">
        <f t="shared" si="54"/>
      </c>
      <c r="C236" s="180">
        <f t="shared" si="56"/>
      </c>
      <c r="D236" s="180">
        <f t="shared" si="55"/>
      </c>
      <c r="E236" s="180">
        <f t="shared" si="49"/>
      </c>
      <c r="F236" s="180">
        <f t="shared" si="57"/>
      </c>
      <c r="G236" s="180">
        <f t="shared" si="58"/>
      </c>
      <c r="H236" s="180">
        <f t="shared" si="50"/>
      </c>
      <c r="I236" s="184">
        <f>IF(B228="","",SUM(E228:E239))</f>
      </c>
    </row>
    <row r="237" spans="1:9" ht="15">
      <c r="A237" s="189">
        <f>IF(B237="","","Oct")</f>
      </c>
      <c r="B237">
        <f t="shared" si="54"/>
      </c>
      <c r="C237" s="180">
        <f t="shared" si="56"/>
      </c>
      <c r="D237" s="180">
        <f t="shared" si="55"/>
      </c>
      <c r="E237" s="180">
        <f t="shared" si="49"/>
      </c>
      <c r="F237" s="180">
        <f t="shared" si="57"/>
      </c>
      <c r="G237" s="180">
        <f t="shared" si="58"/>
      </c>
      <c r="H237" s="180">
        <f t="shared" si="50"/>
      </c>
      <c r="I237" s="183">
        <f>IF(B228="","","Interest")</f>
      </c>
    </row>
    <row r="238" spans="1:9" ht="15">
      <c r="A238" s="189">
        <f>IF(B238="","","Nov")</f>
      </c>
      <c r="B238">
        <f t="shared" si="54"/>
      </c>
      <c r="C238" s="180">
        <f aca="true" t="shared" si="59" ref="C238:C253">IF(B238="","",F237)</f>
      </c>
      <c r="D238" s="180">
        <f t="shared" si="55"/>
      </c>
      <c r="E238" s="180">
        <f t="shared" si="49"/>
      </c>
      <c r="F238" s="180">
        <f aca="true" t="shared" si="60" ref="F238:F253">IF(B238="","",C238-E238)</f>
      </c>
      <c r="G238" s="180">
        <f aca="true" t="shared" si="61" ref="G238:G253">IF(B238="","",G237+E238)</f>
      </c>
      <c r="H238" s="180">
        <f t="shared" si="50"/>
      </c>
      <c r="I238" s="184">
        <f>IF(B228="","",SUM(D228:D239))</f>
      </c>
    </row>
    <row r="239" spans="1:9" ht="15">
      <c r="A239" s="190">
        <f>IF(B239="","","Dec")</f>
      </c>
      <c r="B239" s="185">
        <f t="shared" si="54"/>
      </c>
      <c r="C239" s="186">
        <f t="shared" si="59"/>
      </c>
      <c r="D239" s="186">
        <f t="shared" si="55"/>
      </c>
      <c r="E239" s="186">
        <f t="shared" si="49"/>
      </c>
      <c r="F239" s="186">
        <f t="shared" si="60"/>
      </c>
      <c r="G239" s="186">
        <f t="shared" si="61"/>
      </c>
      <c r="H239" s="186">
        <f t="shared" si="50"/>
      </c>
      <c r="I239" s="185">
        <f>IF(B228="","","End of year 19")</f>
      </c>
    </row>
    <row r="240" spans="1:8" ht="15">
      <c r="A240" s="189">
        <f>IF(B240="","","Jan")</f>
      </c>
      <c r="B240">
        <f t="shared" si="54"/>
      </c>
      <c r="C240" s="180">
        <f t="shared" si="59"/>
      </c>
      <c r="D240" s="180">
        <f t="shared" si="55"/>
      </c>
      <c r="E240" s="180">
        <f t="shared" si="49"/>
      </c>
      <c r="F240" s="180">
        <f t="shared" si="60"/>
      </c>
      <c r="G240" s="180">
        <f t="shared" si="61"/>
      </c>
      <c r="H240" s="180">
        <f t="shared" si="50"/>
      </c>
    </row>
    <row r="241" spans="1:8" ht="15">
      <c r="A241" s="189">
        <f>IF(B241="","","Feb")</f>
      </c>
      <c r="B241">
        <f t="shared" si="54"/>
      </c>
      <c r="C241" s="180">
        <f t="shared" si="59"/>
      </c>
      <c r="D241" s="180">
        <f t="shared" si="55"/>
      </c>
      <c r="E241" s="180">
        <f t="shared" si="49"/>
      </c>
      <c r="F241" s="180">
        <f t="shared" si="60"/>
      </c>
      <c r="G241" s="180">
        <f t="shared" si="61"/>
      </c>
      <c r="H241" s="180">
        <f t="shared" si="50"/>
      </c>
    </row>
    <row r="242" spans="1:8" ht="15">
      <c r="A242" s="189">
        <f>IF(B242="","","Mar")</f>
      </c>
      <c r="B242">
        <f t="shared" si="54"/>
      </c>
      <c r="C242" s="180">
        <f t="shared" si="59"/>
      </c>
      <c r="D242" s="180">
        <f t="shared" si="55"/>
      </c>
      <c r="E242" s="180">
        <f t="shared" si="49"/>
      </c>
      <c r="F242" s="180">
        <f t="shared" si="60"/>
      </c>
      <c r="G242" s="180">
        <f t="shared" si="61"/>
      </c>
      <c r="H242" s="180">
        <f t="shared" si="50"/>
      </c>
    </row>
    <row r="243" spans="1:8" ht="15">
      <c r="A243" s="189">
        <f>IF(B243="","","Apr")</f>
      </c>
      <c r="B243">
        <f t="shared" si="54"/>
      </c>
      <c r="C243" s="180">
        <f t="shared" si="59"/>
      </c>
      <c r="D243" s="180">
        <f t="shared" si="55"/>
      </c>
      <c r="E243" s="180">
        <f t="shared" si="49"/>
      </c>
      <c r="F243" s="180">
        <f t="shared" si="60"/>
      </c>
      <c r="G243" s="180">
        <f t="shared" si="61"/>
      </c>
      <c r="H243" s="180">
        <f t="shared" si="50"/>
      </c>
    </row>
    <row r="244" spans="1:8" ht="15">
      <c r="A244" s="189">
        <f>IF(B244="","","May")</f>
      </c>
      <c r="B244">
        <f t="shared" si="54"/>
      </c>
      <c r="C244" s="180">
        <f t="shared" si="59"/>
      </c>
      <c r="D244" s="180">
        <f t="shared" si="55"/>
      </c>
      <c r="E244" s="180">
        <f t="shared" si="49"/>
      </c>
      <c r="F244" s="180">
        <f t="shared" si="60"/>
      </c>
      <c r="G244" s="180">
        <f t="shared" si="61"/>
      </c>
      <c r="H244" s="180">
        <f t="shared" si="50"/>
      </c>
    </row>
    <row r="245" spans="1:8" ht="15">
      <c r="A245" s="189">
        <f>IF(B245="","","Jun")</f>
      </c>
      <c r="B245">
        <f t="shared" si="54"/>
      </c>
      <c r="C245" s="180">
        <f t="shared" si="59"/>
      </c>
      <c r="D245" s="180">
        <f t="shared" si="55"/>
      </c>
      <c r="E245" s="180">
        <f t="shared" si="49"/>
      </c>
      <c r="F245" s="180">
        <f t="shared" si="60"/>
      </c>
      <c r="G245" s="180">
        <f t="shared" si="61"/>
      </c>
      <c r="H245" s="180">
        <f t="shared" si="50"/>
      </c>
    </row>
    <row r="246" spans="1:8" ht="15">
      <c r="A246" s="189">
        <f>IF(B246="","","Jul")</f>
      </c>
      <c r="B246">
        <f t="shared" si="54"/>
      </c>
      <c r="C246" s="180">
        <f t="shared" si="59"/>
      </c>
      <c r="D246" s="180">
        <f t="shared" si="55"/>
      </c>
      <c r="E246" s="180">
        <f t="shared" si="49"/>
      </c>
      <c r="F246" s="180">
        <f t="shared" si="60"/>
      </c>
      <c r="G246" s="180">
        <f t="shared" si="61"/>
      </c>
      <c r="H246" s="180">
        <f t="shared" si="50"/>
      </c>
    </row>
    <row r="247" spans="1:9" ht="15">
      <c r="A247" s="189">
        <f>IF(B247="","","Aug")</f>
      </c>
      <c r="B247">
        <f t="shared" si="54"/>
      </c>
      <c r="C247" s="180">
        <f t="shared" si="59"/>
      </c>
      <c r="D247" s="180">
        <f t="shared" si="55"/>
      </c>
      <c r="E247" s="180">
        <f t="shared" si="49"/>
      </c>
      <c r="F247" s="180">
        <f t="shared" si="60"/>
      </c>
      <c r="G247" s="180">
        <f t="shared" si="61"/>
      </c>
      <c r="H247" s="180">
        <f t="shared" si="50"/>
      </c>
      <c r="I247" s="183">
        <f>IF(B240="","","Principal")</f>
      </c>
    </row>
    <row r="248" spans="1:9" ht="15">
      <c r="A248" s="189">
        <f>IF(B248="","","Sep")</f>
      </c>
      <c r="B248">
        <f t="shared" si="54"/>
      </c>
      <c r="C248" s="180">
        <f t="shared" si="59"/>
      </c>
      <c r="D248" s="180">
        <f t="shared" si="55"/>
      </c>
      <c r="E248" s="180">
        <f t="shared" si="49"/>
      </c>
      <c r="F248" s="180">
        <f t="shared" si="60"/>
      </c>
      <c r="G248" s="180">
        <f t="shared" si="61"/>
      </c>
      <c r="H248" s="180">
        <f t="shared" si="50"/>
      </c>
      <c r="I248" s="184">
        <f>IF(B240="","",SUM(E240:E251))</f>
      </c>
    </row>
    <row r="249" spans="1:9" ht="15">
      <c r="A249" s="189">
        <f>IF(B249="","","Oct")</f>
      </c>
      <c r="B249">
        <f t="shared" si="54"/>
      </c>
      <c r="C249" s="180">
        <f t="shared" si="59"/>
      </c>
      <c r="D249" s="180">
        <f t="shared" si="55"/>
      </c>
      <c r="E249" s="180">
        <f t="shared" si="49"/>
      </c>
      <c r="F249" s="180">
        <f t="shared" si="60"/>
      </c>
      <c r="G249" s="180">
        <f t="shared" si="61"/>
      </c>
      <c r="H249" s="180">
        <f t="shared" si="50"/>
      </c>
      <c r="I249" s="183">
        <f>IF(B240="","","Interest")</f>
      </c>
    </row>
    <row r="250" spans="1:9" ht="15">
      <c r="A250" s="189">
        <f>IF(B250="","","Nov")</f>
      </c>
      <c r="B250">
        <f t="shared" si="54"/>
      </c>
      <c r="C250" s="180">
        <f t="shared" si="59"/>
      </c>
      <c r="D250" s="180">
        <f t="shared" si="55"/>
      </c>
      <c r="E250" s="180">
        <f t="shared" si="49"/>
      </c>
      <c r="F250" s="180">
        <f t="shared" si="60"/>
      </c>
      <c r="G250" s="180">
        <f t="shared" si="61"/>
      </c>
      <c r="H250" s="180">
        <f t="shared" si="50"/>
      </c>
      <c r="I250" s="184">
        <f>IF(B240="","",SUM(D240:D251))</f>
      </c>
    </row>
    <row r="251" spans="1:9" ht="15">
      <c r="A251" s="190">
        <f>IF(B251="","","Dec")</f>
      </c>
      <c r="B251" s="185">
        <f t="shared" si="54"/>
      </c>
      <c r="C251" s="186">
        <f t="shared" si="59"/>
      </c>
      <c r="D251" s="186">
        <f t="shared" si="55"/>
      </c>
      <c r="E251" s="186">
        <f t="shared" si="49"/>
      </c>
      <c r="F251" s="186">
        <f t="shared" si="60"/>
      </c>
      <c r="G251" s="186">
        <f t="shared" si="61"/>
      </c>
      <c r="H251" s="186">
        <f t="shared" si="50"/>
      </c>
      <c r="I251" s="185">
        <f>IF(B240="","","End of year 20")</f>
      </c>
    </row>
    <row r="252" spans="1:8" ht="15">
      <c r="A252" s="189">
        <f>IF(B252="","","Jan")</f>
      </c>
      <c r="B252">
        <f t="shared" si="54"/>
      </c>
      <c r="C252" s="180">
        <f t="shared" si="59"/>
      </c>
      <c r="D252" s="180">
        <f t="shared" si="55"/>
      </c>
      <c r="E252" s="180">
        <f t="shared" si="49"/>
      </c>
      <c r="F252" s="180">
        <f t="shared" si="60"/>
      </c>
      <c r="G252" s="180">
        <f t="shared" si="61"/>
      </c>
      <c r="H252" s="180">
        <f t="shared" si="50"/>
      </c>
    </row>
    <row r="253" spans="1:8" ht="15">
      <c r="A253" s="189">
        <f>IF(B253="","","Feb")</f>
      </c>
      <c r="B253">
        <f t="shared" si="54"/>
      </c>
      <c r="C253" s="180">
        <f t="shared" si="59"/>
      </c>
      <c r="D253" s="180">
        <f t="shared" si="55"/>
      </c>
      <c r="E253" s="180">
        <f t="shared" si="49"/>
      </c>
      <c r="F253" s="180">
        <f t="shared" si="60"/>
      </c>
      <c r="G253" s="180">
        <f t="shared" si="61"/>
      </c>
      <c r="H253" s="180">
        <f t="shared" si="50"/>
      </c>
    </row>
    <row r="254" spans="1:8" ht="15">
      <c r="A254" s="189">
        <f>IF(B254="","","Mar")</f>
      </c>
      <c r="B254">
        <f t="shared" si="54"/>
      </c>
      <c r="C254" s="180">
        <f aca="true" t="shared" si="62" ref="C254:C269">IF(B254="","",F253)</f>
      </c>
      <c r="D254" s="180">
        <f t="shared" si="55"/>
      </c>
      <c r="E254" s="180">
        <f t="shared" si="49"/>
      </c>
      <c r="F254" s="180">
        <f aca="true" t="shared" si="63" ref="F254:F269">IF(B254="","",C254-E254)</f>
      </c>
      <c r="G254" s="180">
        <f aca="true" t="shared" si="64" ref="G254:G269">IF(B254="","",G253+E254)</f>
      </c>
      <c r="H254" s="180">
        <f t="shared" si="50"/>
      </c>
    </row>
    <row r="255" spans="1:8" ht="15">
      <c r="A255" s="189">
        <f>IF(B255="","","Apr")</f>
      </c>
      <c r="B255">
        <f t="shared" si="54"/>
      </c>
      <c r="C255" s="180">
        <f t="shared" si="62"/>
      </c>
      <c r="D255" s="180">
        <f t="shared" si="55"/>
      </c>
      <c r="E255" s="180">
        <f t="shared" si="49"/>
      </c>
      <c r="F255" s="180">
        <f t="shared" si="63"/>
      </c>
      <c r="G255" s="180">
        <f t="shared" si="64"/>
      </c>
      <c r="H255" s="180">
        <f t="shared" si="50"/>
      </c>
    </row>
    <row r="256" spans="1:8" ht="15">
      <c r="A256" s="189">
        <f>IF(B256="","","May")</f>
      </c>
      <c r="B256">
        <f t="shared" si="54"/>
      </c>
      <c r="C256" s="180">
        <f t="shared" si="62"/>
      </c>
      <c r="D256" s="180">
        <f t="shared" si="55"/>
      </c>
      <c r="E256" s="180">
        <f t="shared" si="49"/>
      </c>
      <c r="F256" s="180">
        <f t="shared" si="63"/>
      </c>
      <c r="G256" s="180">
        <f t="shared" si="64"/>
      </c>
      <c r="H256" s="180">
        <f t="shared" si="50"/>
      </c>
    </row>
    <row r="257" spans="1:8" ht="15">
      <c r="A257" s="189">
        <f>IF(B257="","","Jun")</f>
      </c>
      <c r="B257">
        <f t="shared" si="54"/>
      </c>
      <c r="C257" s="180">
        <f t="shared" si="62"/>
      </c>
      <c r="D257" s="180">
        <f t="shared" si="55"/>
      </c>
      <c r="E257" s="180">
        <f t="shared" si="49"/>
      </c>
      <c r="F257" s="180">
        <f t="shared" si="63"/>
      </c>
      <c r="G257" s="180">
        <f t="shared" si="64"/>
      </c>
      <c r="H257" s="180">
        <f t="shared" si="50"/>
      </c>
    </row>
    <row r="258" spans="1:8" ht="15">
      <c r="A258" s="189">
        <f>IF(B258="","","Jul")</f>
      </c>
      <c r="B258">
        <f t="shared" si="54"/>
      </c>
      <c r="C258" s="180">
        <f t="shared" si="62"/>
      </c>
      <c r="D258" s="180">
        <f t="shared" si="55"/>
      </c>
      <c r="E258" s="180">
        <f t="shared" si="49"/>
      </c>
      <c r="F258" s="180">
        <f t="shared" si="63"/>
      </c>
      <c r="G258" s="180">
        <f t="shared" si="64"/>
      </c>
      <c r="H258" s="180">
        <f t="shared" si="50"/>
      </c>
    </row>
    <row r="259" spans="1:9" ht="15">
      <c r="A259" s="189">
        <f>IF(B259="","","Aug")</f>
      </c>
      <c r="B259">
        <f t="shared" si="54"/>
      </c>
      <c r="C259" s="180">
        <f t="shared" si="62"/>
      </c>
      <c r="D259" s="180">
        <f t="shared" si="55"/>
      </c>
      <c r="E259" s="180">
        <f t="shared" si="49"/>
      </c>
      <c r="F259" s="180">
        <f t="shared" si="63"/>
      </c>
      <c r="G259" s="180">
        <f t="shared" si="64"/>
      </c>
      <c r="H259" s="180">
        <f t="shared" si="50"/>
      </c>
      <c r="I259" s="183">
        <f>IF(B252="","","Principal")</f>
      </c>
    </row>
    <row r="260" spans="1:9" ht="15">
      <c r="A260" s="189">
        <f>IF(B260="","","Sep")</f>
      </c>
      <c r="B260">
        <f t="shared" si="54"/>
      </c>
      <c r="C260" s="180">
        <f t="shared" si="62"/>
      </c>
      <c r="D260" s="180">
        <f t="shared" si="55"/>
      </c>
      <c r="E260" s="180">
        <f t="shared" si="49"/>
      </c>
      <c r="F260" s="180">
        <f t="shared" si="63"/>
      </c>
      <c r="G260" s="180">
        <f t="shared" si="64"/>
      </c>
      <c r="H260" s="180">
        <f t="shared" si="50"/>
      </c>
      <c r="I260" s="184">
        <f>IF(B252="","",SUM(E252:E263))</f>
      </c>
    </row>
    <row r="261" spans="1:9" ht="15">
      <c r="A261" s="189">
        <f>IF(B261="","","Oct")</f>
      </c>
      <c r="B261">
        <f t="shared" si="54"/>
      </c>
      <c r="C261" s="180">
        <f t="shared" si="62"/>
      </c>
      <c r="D261" s="180">
        <f t="shared" si="55"/>
      </c>
      <c r="E261" s="180">
        <f t="shared" si="49"/>
      </c>
      <c r="F261" s="180">
        <f t="shared" si="63"/>
      </c>
      <c r="G261" s="180">
        <f t="shared" si="64"/>
      </c>
      <c r="H261" s="180">
        <f t="shared" si="50"/>
      </c>
      <c r="I261" s="183">
        <f>IF(B252="","","Interest")</f>
      </c>
    </row>
    <row r="262" spans="1:9" ht="15">
      <c r="A262" s="189">
        <f>IF(B262="","","Nov")</f>
      </c>
      <c r="B262">
        <f t="shared" si="54"/>
      </c>
      <c r="C262" s="180">
        <f t="shared" si="62"/>
      </c>
      <c r="D262" s="180">
        <f t="shared" si="55"/>
      </c>
      <c r="E262" s="180">
        <f t="shared" si="49"/>
      </c>
      <c r="F262" s="180">
        <f t="shared" si="63"/>
      </c>
      <c r="G262" s="180">
        <f t="shared" si="64"/>
      </c>
      <c r="H262" s="180">
        <f t="shared" si="50"/>
      </c>
      <c r="I262" s="184">
        <f>IF(B252="","",SUM(D252:D263))</f>
      </c>
    </row>
    <row r="263" spans="1:9" ht="15">
      <c r="A263" s="190">
        <f>IF(B263="","","Dec")</f>
      </c>
      <c r="B263" s="185">
        <f t="shared" si="54"/>
      </c>
      <c r="C263" s="186">
        <f t="shared" si="62"/>
      </c>
      <c r="D263" s="186">
        <f t="shared" si="55"/>
      </c>
      <c r="E263" s="186">
        <f t="shared" si="49"/>
      </c>
      <c r="F263" s="186">
        <f t="shared" si="63"/>
      </c>
      <c r="G263" s="186">
        <f t="shared" si="64"/>
      </c>
      <c r="H263" s="186">
        <f t="shared" si="50"/>
      </c>
      <c r="I263" s="185">
        <f>IF(B252="","","End of year 21")</f>
      </c>
    </row>
    <row r="264" spans="1:8" ht="15">
      <c r="A264" s="189">
        <f>IF(B264="","","Jan")</f>
      </c>
      <c r="B264">
        <f t="shared" si="54"/>
      </c>
      <c r="C264" s="180">
        <f t="shared" si="62"/>
      </c>
      <c r="D264" s="180">
        <f t="shared" si="55"/>
      </c>
      <c r="E264" s="180">
        <f t="shared" si="49"/>
      </c>
      <c r="F264" s="180">
        <f t="shared" si="63"/>
      </c>
      <c r="G264" s="180">
        <f t="shared" si="64"/>
      </c>
      <c r="H264" s="180">
        <f t="shared" si="50"/>
      </c>
    </row>
    <row r="265" spans="1:8" ht="15">
      <c r="A265" s="189">
        <f>IF(B265="","","Feb")</f>
      </c>
      <c r="B265">
        <f t="shared" si="54"/>
      </c>
      <c r="C265" s="180">
        <f t="shared" si="62"/>
      </c>
      <c r="D265" s="180">
        <f t="shared" si="55"/>
      </c>
      <c r="E265" s="180">
        <f t="shared" si="49"/>
      </c>
      <c r="F265" s="180">
        <f t="shared" si="63"/>
      </c>
      <c r="G265" s="180">
        <f t="shared" si="64"/>
      </c>
      <c r="H265" s="180">
        <f t="shared" si="50"/>
      </c>
    </row>
    <row r="266" spans="1:8" ht="15">
      <c r="A266" s="189">
        <f>IF(B266="","","Mar")</f>
      </c>
      <c r="B266">
        <f t="shared" si="54"/>
      </c>
      <c r="C266" s="180">
        <f t="shared" si="62"/>
      </c>
      <c r="D266" s="180">
        <f t="shared" si="55"/>
      </c>
      <c r="E266" s="180">
        <f t="shared" si="49"/>
      </c>
      <c r="F266" s="180">
        <f t="shared" si="63"/>
      </c>
      <c r="G266" s="180">
        <f t="shared" si="64"/>
      </c>
      <c r="H266" s="180">
        <f t="shared" si="50"/>
      </c>
    </row>
    <row r="267" spans="1:8" ht="15">
      <c r="A267" s="189">
        <f>IF(B267="","","Apr")</f>
      </c>
      <c r="B267">
        <f t="shared" si="54"/>
      </c>
      <c r="C267" s="180">
        <f t="shared" si="62"/>
      </c>
      <c r="D267" s="180">
        <f t="shared" si="55"/>
      </c>
      <c r="E267" s="180">
        <f t="shared" si="49"/>
      </c>
      <c r="F267" s="180">
        <f t="shared" si="63"/>
      </c>
      <c r="G267" s="180">
        <f t="shared" si="64"/>
      </c>
      <c r="H267" s="180">
        <f t="shared" si="50"/>
      </c>
    </row>
    <row r="268" spans="1:8" ht="15">
      <c r="A268" s="189">
        <f>IF(B268="","","May")</f>
      </c>
      <c r="B268">
        <f t="shared" si="54"/>
      </c>
      <c r="C268" s="180">
        <f t="shared" si="62"/>
      </c>
      <c r="D268" s="180">
        <f t="shared" si="55"/>
      </c>
      <c r="E268" s="180">
        <f t="shared" si="49"/>
      </c>
      <c r="F268" s="180">
        <f t="shared" si="63"/>
      </c>
      <c r="G268" s="180">
        <f t="shared" si="64"/>
      </c>
      <c r="H268" s="180">
        <f t="shared" si="50"/>
      </c>
    </row>
    <row r="269" spans="1:8" ht="15">
      <c r="A269" s="189">
        <f>IF(B269="","","Jun")</f>
      </c>
      <c r="B269">
        <f t="shared" si="54"/>
      </c>
      <c r="C269" s="180">
        <f t="shared" si="62"/>
      </c>
      <c r="D269" s="180">
        <f t="shared" si="55"/>
      </c>
      <c r="E269" s="180">
        <f aca="true" t="shared" si="65" ref="E269:E332">IF(B269="","",IF(C269+D269&lt;($G$3+$C$7),(C269+D269)-D269,($G$3+$C$7)-D269))</f>
      </c>
      <c r="F269" s="180">
        <f t="shared" si="63"/>
      </c>
      <c r="G269" s="180">
        <f t="shared" si="64"/>
      </c>
      <c r="H269" s="180">
        <f aca="true" t="shared" si="66" ref="H269:H332">IF(B269="","",H268+D269)</f>
      </c>
    </row>
    <row r="270" spans="1:8" ht="15">
      <c r="A270" s="189">
        <f>IF(B270="","","Jul")</f>
      </c>
      <c r="B270">
        <f t="shared" si="54"/>
      </c>
      <c r="C270" s="180">
        <f aca="true" t="shared" si="67" ref="C270:C285">IF(B270="","",F269)</f>
      </c>
      <c r="D270" s="180">
        <f t="shared" si="55"/>
      </c>
      <c r="E270" s="180">
        <f t="shared" si="65"/>
      </c>
      <c r="F270" s="180">
        <f aca="true" t="shared" si="68" ref="F270:F285">IF(B270="","",C270-E270)</f>
      </c>
      <c r="G270" s="180">
        <f aca="true" t="shared" si="69" ref="G270:G285">IF(B270="","",G269+E270)</f>
      </c>
      <c r="H270" s="180">
        <f t="shared" si="66"/>
      </c>
    </row>
    <row r="271" spans="1:9" ht="15">
      <c r="A271" s="189">
        <f>IF(B271="","","Aug")</f>
      </c>
      <c r="B271">
        <f t="shared" si="54"/>
      </c>
      <c r="C271" s="180">
        <f t="shared" si="67"/>
      </c>
      <c r="D271" s="180">
        <f t="shared" si="55"/>
      </c>
      <c r="E271" s="180">
        <f t="shared" si="65"/>
      </c>
      <c r="F271" s="180">
        <f t="shared" si="68"/>
      </c>
      <c r="G271" s="180">
        <f t="shared" si="69"/>
      </c>
      <c r="H271" s="180">
        <f t="shared" si="66"/>
      </c>
      <c r="I271" s="183">
        <f>IF(B264="","","Principal")</f>
      </c>
    </row>
    <row r="272" spans="1:9" ht="15">
      <c r="A272" s="189">
        <f>IF(B272="","","Sep")</f>
      </c>
      <c r="B272">
        <f t="shared" si="54"/>
      </c>
      <c r="C272" s="180">
        <f t="shared" si="67"/>
      </c>
      <c r="D272" s="180">
        <f t="shared" si="55"/>
      </c>
      <c r="E272" s="180">
        <f t="shared" si="65"/>
      </c>
      <c r="F272" s="180">
        <f t="shared" si="68"/>
      </c>
      <c r="G272" s="180">
        <f t="shared" si="69"/>
      </c>
      <c r="H272" s="180">
        <f t="shared" si="66"/>
      </c>
      <c r="I272" s="184">
        <f>IF(B264="","",SUM(E264:E275))</f>
      </c>
    </row>
    <row r="273" spans="1:9" ht="15">
      <c r="A273" s="189">
        <f>IF(B273="","","Oct")</f>
      </c>
      <c r="B273">
        <f t="shared" si="54"/>
      </c>
      <c r="C273" s="180">
        <f t="shared" si="67"/>
      </c>
      <c r="D273" s="180">
        <f t="shared" si="55"/>
      </c>
      <c r="E273" s="180">
        <f t="shared" si="65"/>
      </c>
      <c r="F273" s="180">
        <f t="shared" si="68"/>
      </c>
      <c r="G273" s="180">
        <f t="shared" si="69"/>
      </c>
      <c r="H273" s="180">
        <f t="shared" si="66"/>
      </c>
      <c r="I273" s="183">
        <f>IF(B264="","","Interest")</f>
      </c>
    </row>
    <row r="274" spans="1:9" ht="15">
      <c r="A274" s="189">
        <f>IF(B274="","","Nov")</f>
      </c>
      <c r="B274">
        <f t="shared" si="54"/>
      </c>
      <c r="C274" s="180">
        <f t="shared" si="67"/>
      </c>
      <c r="D274" s="180">
        <f t="shared" si="55"/>
      </c>
      <c r="E274" s="180">
        <f t="shared" si="65"/>
      </c>
      <c r="F274" s="180">
        <f t="shared" si="68"/>
      </c>
      <c r="G274" s="180">
        <f t="shared" si="69"/>
      </c>
      <c r="H274" s="180">
        <f t="shared" si="66"/>
      </c>
      <c r="I274" s="184">
        <f>IF(B264="","",SUM(D264:D275))</f>
      </c>
    </row>
    <row r="275" spans="1:9" ht="15">
      <c r="A275" s="190">
        <f>IF(B275="","","Dec")</f>
      </c>
      <c r="B275" s="185">
        <f t="shared" si="54"/>
      </c>
      <c r="C275" s="186">
        <f t="shared" si="67"/>
      </c>
      <c r="D275" s="186">
        <f t="shared" si="55"/>
      </c>
      <c r="E275" s="186">
        <f t="shared" si="65"/>
      </c>
      <c r="F275" s="186">
        <f t="shared" si="68"/>
      </c>
      <c r="G275" s="186">
        <f t="shared" si="69"/>
      </c>
      <c r="H275" s="186">
        <f t="shared" si="66"/>
      </c>
      <c r="I275" s="185">
        <f>IF(B264="","","End of year 22")</f>
      </c>
    </row>
    <row r="276" spans="1:8" ht="15">
      <c r="A276" s="189">
        <f>IF(B276="","","Jan")</f>
      </c>
      <c r="B276">
        <f t="shared" si="54"/>
      </c>
      <c r="C276" s="180">
        <f t="shared" si="67"/>
      </c>
      <c r="D276" s="180">
        <f t="shared" si="55"/>
      </c>
      <c r="E276" s="180">
        <f t="shared" si="65"/>
      </c>
      <c r="F276" s="180">
        <f t="shared" si="68"/>
      </c>
      <c r="G276" s="180">
        <f t="shared" si="69"/>
      </c>
      <c r="H276" s="180">
        <f t="shared" si="66"/>
      </c>
    </row>
    <row r="277" spans="1:8" ht="15">
      <c r="A277" s="189">
        <f>IF(B277="","","Feb")</f>
      </c>
      <c r="B277">
        <f t="shared" si="54"/>
      </c>
      <c r="C277" s="180">
        <f t="shared" si="67"/>
      </c>
      <c r="D277" s="180">
        <f t="shared" si="55"/>
      </c>
      <c r="E277" s="180">
        <f t="shared" si="65"/>
      </c>
      <c r="F277" s="180">
        <f t="shared" si="68"/>
      </c>
      <c r="G277" s="180">
        <f t="shared" si="69"/>
      </c>
      <c r="H277" s="180">
        <f t="shared" si="66"/>
      </c>
    </row>
    <row r="278" spans="1:8" ht="15">
      <c r="A278" s="189">
        <f>IF(B278="","","Mar")</f>
      </c>
      <c r="B278">
        <f t="shared" si="54"/>
      </c>
      <c r="C278" s="180">
        <f t="shared" si="67"/>
      </c>
      <c r="D278" s="180">
        <f t="shared" si="55"/>
      </c>
      <c r="E278" s="180">
        <f t="shared" si="65"/>
      </c>
      <c r="F278" s="180">
        <f t="shared" si="68"/>
      </c>
      <c r="G278" s="180">
        <f t="shared" si="69"/>
      </c>
      <c r="H278" s="180">
        <f t="shared" si="66"/>
      </c>
    </row>
    <row r="279" spans="1:8" ht="15">
      <c r="A279" s="189">
        <f>IF(B279="","","Apr")</f>
      </c>
      <c r="B279">
        <f t="shared" si="54"/>
      </c>
      <c r="C279" s="180">
        <f t="shared" si="67"/>
      </c>
      <c r="D279" s="180">
        <f t="shared" si="55"/>
      </c>
      <c r="E279" s="180">
        <f t="shared" si="65"/>
      </c>
      <c r="F279" s="180">
        <f t="shared" si="68"/>
      </c>
      <c r="G279" s="180">
        <f t="shared" si="69"/>
      </c>
      <c r="H279" s="180">
        <f t="shared" si="66"/>
      </c>
    </row>
    <row r="280" spans="1:8" ht="15">
      <c r="A280" s="189">
        <f>IF(B280="","","May")</f>
      </c>
      <c r="B280">
        <f t="shared" si="54"/>
      </c>
      <c r="C280" s="180">
        <f t="shared" si="67"/>
      </c>
      <c r="D280" s="180">
        <f t="shared" si="55"/>
      </c>
      <c r="E280" s="180">
        <f t="shared" si="65"/>
      </c>
      <c r="F280" s="180">
        <f t="shared" si="68"/>
      </c>
      <c r="G280" s="180">
        <f t="shared" si="69"/>
      </c>
      <c r="H280" s="180">
        <f t="shared" si="66"/>
      </c>
    </row>
    <row r="281" spans="1:8" ht="15">
      <c r="A281" s="189">
        <f>IF(B281="","","Jun")</f>
      </c>
      <c r="B281">
        <f aca="true" t="shared" si="70" ref="B281:B344">IF(B280=ABS($C$5),"",IF(B280="","",IF(G280&gt;=$C$3,"",B280+1)))</f>
      </c>
      <c r="C281" s="180">
        <f t="shared" si="67"/>
      </c>
      <c r="D281" s="180">
        <f t="shared" si="55"/>
      </c>
      <c r="E281" s="180">
        <f t="shared" si="65"/>
      </c>
      <c r="F281" s="180">
        <f t="shared" si="68"/>
      </c>
      <c r="G281" s="180">
        <f t="shared" si="69"/>
      </c>
      <c r="H281" s="180">
        <f t="shared" si="66"/>
      </c>
    </row>
    <row r="282" spans="1:8" ht="15">
      <c r="A282" s="189">
        <f>IF(B282="","","Jul")</f>
      </c>
      <c r="B282">
        <f t="shared" si="70"/>
      </c>
      <c r="C282" s="180">
        <f t="shared" si="67"/>
      </c>
      <c r="D282" s="180">
        <f aca="true" t="shared" si="71" ref="D282:D345">IF(B282="","",C282*(($C$4/100)/12))</f>
      </c>
      <c r="E282" s="180">
        <f t="shared" si="65"/>
      </c>
      <c r="F282" s="180">
        <f t="shared" si="68"/>
      </c>
      <c r="G282" s="180">
        <f t="shared" si="69"/>
      </c>
      <c r="H282" s="180">
        <f t="shared" si="66"/>
      </c>
    </row>
    <row r="283" spans="1:9" ht="15">
      <c r="A283" s="189">
        <f>IF(B283="","","Aug")</f>
      </c>
      <c r="B283">
        <f t="shared" si="70"/>
      </c>
      <c r="C283" s="180">
        <f t="shared" si="67"/>
      </c>
      <c r="D283" s="180">
        <f t="shared" si="71"/>
      </c>
      <c r="E283" s="180">
        <f t="shared" si="65"/>
      </c>
      <c r="F283" s="180">
        <f t="shared" si="68"/>
      </c>
      <c r="G283" s="180">
        <f t="shared" si="69"/>
      </c>
      <c r="H283" s="180">
        <f t="shared" si="66"/>
      </c>
      <c r="I283" s="183">
        <f>IF(B276="","","Principal")</f>
      </c>
    </row>
    <row r="284" spans="1:9" ht="15">
      <c r="A284" s="189">
        <f>IF(B284="","","Sep")</f>
      </c>
      <c r="B284">
        <f t="shared" si="70"/>
      </c>
      <c r="C284" s="180">
        <f t="shared" si="67"/>
      </c>
      <c r="D284" s="180">
        <f t="shared" si="71"/>
      </c>
      <c r="E284" s="180">
        <f t="shared" si="65"/>
      </c>
      <c r="F284" s="180">
        <f t="shared" si="68"/>
      </c>
      <c r="G284" s="180">
        <f t="shared" si="69"/>
      </c>
      <c r="H284" s="180">
        <f t="shared" si="66"/>
      </c>
      <c r="I284" s="184">
        <f>IF(B276="","",SUM(E276:E287))</f>
      </c>
    </row>
    <row r="285" spans="1:9" ht="15">
      <c r="A285" s="189">
        <f>IF(B285="","","Oct")</f>
      </c>
      <c r="B285">
        <f t="shared" si="70"/>
      </c>
      <c r="C285" s="180">
        <f t="shared" si="67"/>
      </c>
      <c r="D285" s="180">
        <f t="shared" si="71"/>
      </c>
      <c r="E285" s="180">
        <f t="shared" si="65"/>
      </c>
      <c r="F285" s="180">
        <f t="shared" si="68"/>
      </c>
      <c r="G285" s="180">
        <f t="shared" si="69"/>
      </c>
      <c r="H285" s="180">
        <f t="shared" si="66"/>
      </c>
      <c r="I285" s="183">
        <f>IF(B276="","","Interest")</f>
      </c>
    </row>
    <row r="286" spans="1:9" ht="15">
      <c r="A286" s="189">
        <f>IF(B286="","","Nov")</f>
      </c>
      <c r="B286">
        <f t="shared" si="70"/>
      </c>
      <c r="C286" s="180">
        <f aca="true" t="shared" si="72" ref="C286:C301">IF(B286="","",F285)</f>
      </c>
      <c r="D286" s="180">
        <f t="shared" si="71"/>
      </c>
      <c r="E286" s="180">
        <f t="shared" si="65"/>
      </c>
      <c r="F286" s="180">
        <f aca="true" t="shared" si="73" ref="F286:F301">IF(B286="","",C286-E286)</f>
      </c>
      <c r="G286" s="180">
        <f aca="true" t="shared" si="74" ref="G286:G301">IF(B286="","",G285+E286)</f>
      </c>
      <c r="H286" s="180">
        <f t="shared" si="66"/>
      </c>
      <c r="I286" s="184">
        <f>IF(B276="","",SUM(D276:D287))</f>
      </c>
    </row>
    <row r="287" spans="1:9" ht="15">
      <c r="A287" s="190">
        <f>IF(B287="","","Dec")</f>
      </c>
      <c r="B287" s="185">
        <f t="shared" si="70"/>
      </c>
      <c r="C287" s="186">
        <f t="shared" si="72"/>
      </c>
      <c r="D287" s="186">
        <f t="shared" si="71"/>
      </c>
      <c r="E287" s="186">
        <f t="shared" si="65"/>
      </c>
      <c r="F287" s="186">
        <f t="shared" si="73"/>
      </c>
      <c r="G287" s="186">
        <f t="shared" si="74"/>
      </c>
      <c r="H287" s="186">
        <f t="shared" si="66"/>
      </c>
      <c r="I287" s="185">
        <f>IF(B276="","","End of year 23")</f>
      </c>
    </row>
    <row r="288" spans="1:8" ht="15">
      <c r="A288" s="189">
        <f>IF(B288="","","Jan")</f>
      </c>
      <c r="B288">
        <f t="shared" si="70"/>
      </c>
      <c r="C288" s="180">
        <f t="shared" si="72"/>
      </c>
      <c r="D288" s="180">
        <f t="shared" si="71"/>
      </c>
      <c r="E288" s="180">
        <f t="shared" si="65"/>
      </c>
      <c r="F288" s="180">
        <f t="shared" si="73"/>
      </c>
      <c r="G288" s="180">
        <f t="shared" si="74"/>
      </c>
      <c r="H288" s="180">
        <f t="shared" si="66"/>
      </c>
    </row>
    <row r="289" spans="1:8" ht="15">
      <c r="A289" s="189">
        <f>IF(B289="","","Feb")</f>
      </c>
      <c r="B289">
        <f t="shared" si="70"/>
      </c>
      <c r="C289" s="180">
        <f t="shared" si="72"/>
      </c>
      <c r="D289" s="180">
        <f t="shared" si="71"/>
      </c>
      <c r="E289" s="180">
        <f t="shared" si="65"/>
      </c>
      <c r="F289" s="180">
        <f t="shared" si="73"/>
      </c>
      <c r="G289" s="180">
        <f t="shared" si="74"/>
      </c>
      <c r="H289" s="180">
        <f t="shared" si="66"/>
      </c>
    </row>
    <row r="290" spans="1:8" ht="15">
      <c r="A290" s="189">
        <f>IF(B290="","","Mar")</f>
      </c>
      <c r="B290">
        <f t="shared" si="70"/>
      </c>
      <c r="C290" s="180">
        <f t="shared" si="72"/>
      </c>
      <c r="D290" s="180">
        <f t="shared" si="71"/>
      </c>
      <c r="E290" s="180">
        <f t="shared" si="65"/>
      </c>
      <c r="F290" s="180">
        <f t="shared" si="73"/>
      </c>
      <c r="G290" s="180">
        <f t="shared" si="74"/>
      </c>
      <c r="H290" s="180">
        <f t="shared" si="66"/>
      </c>
    </row>
    <row r="291" spans="1:8" ht="15">
      <c r="A291" s="189">
        <f>IF(B291="","","Apr")</f>
      </c>
      <c r="B291">
        <f t="shared" si="70"/>
      </c>
      <c r="C291" s="180">
        <f t="shared" si="72"/>
      </c>
      <c r="D291" s="180">
        <f t="shared" si="71"/>
      </c>
      <c r="E291" s="180">
        <f t="shared" si="65"/>
      </c>
      <c r="F291" s="180">
        <f t="shared" si="73"/>
      </c>
      <c r="G291" s="180">
        <f t="shared" si="74"/>
      </c>
      <c r="H291" s="180">
        <f t="shared" si="66"/>
      </c>
    </row>
    <row r="292" spans="1:8" ht="15">
      <c r="A292" s="189">
        <f>IF(B292="","","May")</f>
      </c>
      <c r="B292">
        <f t="shared" si="70"/>
      </c>
      <c r="C292" s="180">
        <f t="shared" si="72"/>
      </c>
      <c r="D292" s="180">
        <f t="shared" si="71"/>
      </c>
      <c r="E292" s="180">
        <f t="shared" si="65"/>
      </c>
      <c r="F292" s="180">
        <f t="shared" si="73"/>
      </c>
      <c r="G292" s="180">
        <f t="shared" si="74"/>
      </c>
      <c r="H292" s="180">
        <f t="shared" si="66"/>
      </c>
    </row>
    <row r="293" spans="1:8" ht="15">
      <c r="A293" s="189">
        <f>IF(B293="","","Jun")</f>
      </c>
      <c r="B293">
        <f t="shared" si="70"/>
      </c>
      <c r="C293" s="180">
        <f t="shared" si="72"/>
      </c>
      <c r="D293" s="180">
        <f t="shared" si="71"/>
      </c>
      <c r="E293" s="180">
        <f t="shared" si="65"/>
      </c>
      <c r="F293" s="180">
        <f t="shared" si="73"/>
      </c>
      <c r="G293" s="180">
        <f t="shared" si="74"/>
      </c>
      <c r="H293" s="180">
        <f t="shared" si="66"/>
      </c>
    </row>
    <row r="294" spans="1:8" ht="15">
      <c r="A294" s="189">
        <f>IF(B294="","","Jul")</f>
      </c>
      <c r="B294">
        <f t="shared" si="70"/>
      </c>
      <c r="C294" s="180">
        <f t="shared" si="72"/>
      </c>
      <c r="D294" s="180">
        <f t="shared" si="71"/>
      </c>
      <c r="E294" s="180">
        <f t="shared" si="65"/>
      </c>
      <c r="F294" s="180">
        <f t="shared" si="73"/>
      </c>
      <c r="G294" s="180">
        <f t="shared" si="74"/>
      </c>
      <c r="H294" s="180">
        <f t="shared" si="66"/>
      </c>
    </row>
    <row r="295" spans="1:9" ht="15">
      <c r="A295" s="189">
        <f>IF(B295="","","Aug")</f>
      </c>
      <c r="B295">
        <f t="shared" si="70"/>
      </c>
      <c r="C295" s="180">
        <f t="shared" si="72"/>
      </c>
      <c r="D295" s="180">
        <f t="shared" si="71"/>
      </c>
      <c r="E295" s="180">
        <f t="shared" si="65"/>
      </c>
      <c r="F295" s="180">
        <f t="shared" si="73"/>
      </c>
      <c r="G295" s="180">
        <f t="shared" si="74"/>
      </c>
      <c r="H295" s="180">
        <f t="shared" si="66"/>
      </c>
      <c r="I295" s="183">
        <f>IF(B288="","","Principal")</f>
      </c>
    </row>
    <row r="296" spans="1:9" ht="15">
      <c r="A296" s="189">
        <f>IF(B296="","","Sep")</f>
      </c>
      <c r="B296">
        <f t="shared" si="70"/>
      </c>
      <c r="C296" s="180">
        <f t="shared" si="72"/>
      </c>
      <c r="D296" s="180">
        <f t="shared" si="71"/>
      </c>
      <c r="E296" s="180">
        <f t="shared" si="65"/>
      </c>
      <c r="F296" s="180">
        <f t="shared" si="73"/>
      </c>
      <c r="G296" s="180">
        <f t="shared" si="74"/>
      </c>
      <c r="H296" s="180">
        <f t="shared" si="66"/>
      </c>
      <c r="I296" s="184">
        <f>IF(B288="","",SUM(E288:E299))</f>
      </c>
    </row>
    <row r="297" spans="1:9" ht="15">
      <c r="A297" s="189">
        <f>IF(B297="","","Oct")</f>
      </c>
      <c r="B297">
        <f t="shared" si="70"/>
      </c>
      <c r="C297" s="180">
        <f t="shared" si="72"/>
      </c>
      <c r="D297" s="180">
        <f t="shared" si="71"/>
      </c>
      <c r="E297" s="180">
        <f t="shared" si="65"/>
      </c>
      <c r="F297" s="180">
        <f t="shared" si="73"/>
      </c>
      <c r="G297" s="180">
        <f t="shared" si="74"/>
      </c>
      <c r="H297" s="180">
        <f t="shared" si="66"/>
      </c>
      <c r="I297" s="183">
        <f>IF(B288="","","Interest")</f>
      </c>
    </row>
    <row r="298" spans="1:9" ht="15">
      <c r="A298" s="189">
        <f>IF(B298="","","Nov")</f>
      </c>
      <c r="B298">
        <f t="shared" si="70"/>
      </c>
      <c r="C298" s="180">
        <f t="shared" si="72"/>
      </c>
      <c r="D298" s="180">
        <f t="shared" si="71"/>
      </c>
      <c r="E298" s="180">
        <f t="shared" si="65"/>
      </c>
      <c r="F298" s="180">
        <f t="shared" si="73"/>
      </c>
      <c r="G298" s="180">
        <f t="shared" si="74"/>
      </c>
      <c r="H298" s="180">
        <f t="shared" si="66"/>
      </c>
      <c r="I298" s="184">
        <f>IF(B288="","",SUM(D288:D299))</f>
      </c>
    </row>
    <row r="299" spans="1:9" ht="15">
      <c r="A299" s="190">
        <f>IF(B299="","","Dec")</f>
      </c>
      <c r="B299" s="185">
        <f t="shared" si="70"/>
      </c>
      <c r="C299" s="186">
        <f t="shared" si="72"/>
      </c>
      <c r="D299" s="186">
        <f t="shared" si="71"/>
      </c>
      <c r="E299" s="186">
        <f t="shared" si="65"/>
      </c>
      <c r="F299" s="186">
        <f t="shared" si="73"/>
      </c>
      <c r="G299" s="186">
        <f t="shared" si="74"/>
      </c>
      <c r="H299" s="186">
        <f t="shared" si="66"/>
      </c>
      <c r="I299" s="185">
        <f>IF(B288="","","End of year 24")</f>
      </c>
    </row>
    <row r="300" spans="1:8" ht="15">
      <c r="A300" s="189">
        <f>IF(B300="","","Jan")</f>
      </c>
      <c r="B300">
        <f t="shared" si="70"/>
      </c>
      <c r="C300" s="180">
        <f t="shared" si="72"/>
      </c>
      <c r="D300" s="180">
        <f t="shared" si="71"/>
      </c>
      <c r="E300" s="180">
        <f t="shared" si="65"/>
      </c>
      <c r="F300" s="180">
        <f t="shared" si="73"/>
      </c>
      <c r="G300" s="180">
        <f t="shared" si="74"/>
      </c>
      <c r="H300" s="180">
        <f t="shared" si="66"/>
      </c>
    </row>
    <row r="301" spans="1:8" ht="15">
      <c r="A301" s="189">
        <f>IF(B301="","","Feb")</f>
      </c>
      <c r="B301">
        <f t="shared" si="70"/>
      </c>
      <c r="C301" s="180">
        <f t="shared" si="72"/>
      </c>
      <c r="D301" s="180">
        <f t="shared" si="71"/>
      </c>
      <c r="E301" s="180">
        <f t="shared" si="65"/>
      </c>
      <c r="F301" s="180">
        <f t="shared" si="73"/>
      </c>
      <c r="G301" s="180">
        <f t="shared" si="74"/>
      </c>
      <c r="H301" s="180">
        <f t="shared" si="66"/>
      </c>
    </row>
    <row r="302" spans="1:8" ht="15">
      <c r="A302" s="189">
        <f>IF(B302="","","Mar")</f>
      </c>
      <c r="B302">
        <f t="shared" si="70"/>
      </c>
      <c r="C302" s="180">
        <f aca="true" t="shared" si="75" ref="C302:C317">IF(B302="","",F301)</f>
      </c>
      <c r="D302" s="180">
        <f t="shared" si="71"/>
      </c>
      <c r="E302" s="180">
        <f t="shared" si="65"/>
      </c>
      <c r="F302" s="180">
        <f aca="true" t="shared" si="76" ref="F302:F317">IF(B302="","",C302-E302)</f>
      </c>
      <c r="G302" s="180">
        <f aca="true" t="shared" si="77" ref="G302:G317">IF(B302="","",G301+E302)</f>
      </c>
      <c r="H302" s="180">
        <f t="shared" si="66"/>
      </c>
    </row>
    <row r="303" spans="1:8" ht="15">
      <c r="A303" s="189">
        <f>IF(B303="","","Apr")</f>
      </c>
      <c r="B303">
        <f t="shared" si="70"/>
      </c>
      <c r="C303" s="180">
        <f t="shared" si="75"/>
      </c>
      <c r="D303" s="180">
        <f t="shared" si="71"/>
      </c>
      <c r="E303" s="180">
        <f t="shared" si="65"/>
      </c>
      <c r="F303" s="180">
        <f t="shared" si="76"/>
      </c>
      <c r="G303" s="180">
        <f t="shared" si="77"/>
      </c>
      <c r="H303" s="180">
        <f t="shared" si="66"/>
      </c>
    </row>
    <row r="304" spans="1:8" ht="15">
      <c r="A304" s="189">
        <f>IF(B304="","","May")</f>
      </c>
      <c r="B304">
        <f t="shared" si="70"/>
      </c>
      <c r="C304" s="180">
        <f t="shared" si="75"/>
      </c>
      <c r="D304" s="180">
        <f t="shared" si="71"/>
      </c>
      <c r="E304" s="180">
        <f t="shared" si="65"/>
      </c>
      <c r="F304" s="180">
        <f t="shared" si="76"/>
      </c>
      <c r="G304" s="180">
        <f t="shared" si="77"/>
      </c>
      <c r="H304" s="180">
        <f t="shared" si="66"/>
      </c>
    </row>
    <row r="305" spans="1:8" ht="15">
      <c r="A305" s="189">
        <f>IF(B305="","","Jun")</f>
      </c>
      <c r="B305">
        <f t="shared" si="70"/>
      </c>
      <c r="C305" s="180">
        <f t="shared" si="75"/>
      </c>
      <c r="D305" s="180">
        <f t="shared" si="71"/>
      </c>
      <c r="E305" s="180">
        <f t="shared" si="65"/>
      </c>
      <c r="F305" s="180">
        <f t="shared" si="76"/>
      </c>
      <c r="G305" s="180">
        <f t="shared" si="77"/>
      </c>
      <c r="H305" s="180">
        <f t="shared" si="66"/>
      </c>
    </row>
    <row r="306" spans="1:8" ht="15">
      <c r="A306" s="189">
        <f>IF(B306="","","Jul")</f>
      </c>
      <c r="B306">
        <f t="shared" si="70"/>
      </c>
      <c r="C306" s="180">
        <f t="shared" si="75"/>
      </c>
      <c r="D306" s="180">
        <f t="shared" si="71"/>
      </c>
      <c r="E306" s="180">
        <f t="shared" si="65"/>
      </c>
      <c r="F306" s="180">
        <f t="shared" si="76"/>
      </c>
      <c r="G306" s="180">
        <f t="shared" si="77"/>
      </c>
      <c r="H306" s="180">
        <f t="shared" si="66"/>
      </c>
    </row>
    <row r="307" spans="1:9" ht="15">
      <c r="A307" s="189">
        <f>IF(B307="","","Aug")</f>
      </c>
      <c r="B307">
        <f t="shared" si="70"/>
      </c>
      <c r="C307" s="180">
        <f t="shared" si="75"/>
      </c>
      <c r="D307" s="180">
        <f t="shared" si="71"/>
      </c>
      <c r="E307" s="180">
        <f t="shared" si="65"/>
      </c>
      <c r="F307" s="180">
        <f t="shared" si="76"/>
      </c>
      <c r="G307" s="180">
        <f t="shared" si="77"/>
      </c>
      <c r="H307" s="180">
        <f t="shared" si="66"/>
      </c>
      <c r="I307" s="183">
        <f>IF(B300="","","Principal")</f>
      </c>
    </row>
    <row r="308" spans="1:9" ht="15">
      <c r="A308" s="189">
        <f>IF(B308="","","Sep")</f>
      </c>
      <c r="B308">
        <f t="shared" si="70"/>
      </c>
      <c r="C308" s="180">
        <f t="shared" si="75"/>
      </c>
      <c r="D308" s="180">
        <f t="shared" si="71"/>
      </c>
      <c r="E308" s="180">
        <f t="shared" si="65"/>
      </c>
      <c r="F308" s="180">
        <f t="shared" si="76"/>
      </c>
      <c r="G308" s="180">
        <f t="shared" si="77"/>
      </c>
      <c r="H308" s="180">
        <f t="shared" si="66"/>
      </c>
      <c r="I308" s="184">
        <f>IF(B300="","",SUM(E300:E311))</f>
      </c>
    </row>
    <row r="309" spans="1:9" ht="15">
      <c r="A309" s="189">
        <f>IF(B309="","","Oct")</f>
      </c>
      <c r="B309">
        <f t="shared" si="70"/>
      </c>
      <c r="C309" s="180">
        <f t="shared" si="75"/>
      </c>
      <c r="D309" s="180">
        <f t="shared" si="71"/>
      </c>
      <c r="E309" s="180">
        <f t="shared" si="65"/>
      </c>
      <c r="F309" s="180">
        <f t="shared" si="76"/>
      </c>
      <c r="G309" s="180">
        <f t="shared" si="77"/>
      </c>
      <c r="H309" s="180">
        <f t="shared" si="66"/>
      </c>
      <c r="I309" s="183">
        <f>IF(B300="","","Interest")</f>
      </c>
    </row>
    <row r="310" spans="1:9" ht="15">
      <c r="A310" s="189">
        <f>IF(B310="","","Nov")</f>
      </c>
      <c r="B310">
        <f t="shared" si="70"/>
      </c>
      <c r="C310" s="180">
        <f t="shared" si="75"/>
      </c>
      <c r="D310" s="180">
        <f t="shared" si="71"/>
      </c>
      <c r="E310" s="180">
        <f t="shared" si="65"/>
      </c>
      <c r="F310" s="180">
        <f t="shared" si="76"/>
      </c>
      <c r="G310" s="180">
        <f t="shared" si="77"/>
      </c>
      <c r="H310" s="180">
        <f t="shared" si="66"/>
      </c>
      <c r="I310" s="184">
        <f>IF(B300="","",SUM(D300:D311))</f>
      </c>
    </row>
    <row r="311" spans="1:9" ht="15">
      <c r="A311" s="190">
        <f>IF(B311="","","Dec")</f>
      </c>
      <c r="B311" s="185">
        <f t="shared" si="70"/>
      </c>
      <c r="C311" s="186">
        <f t="shared" si="75"/>
      </c>
      <c r="D311" s="186">
        <f t="shared" si="71"/>
      </c>
      <c r="E311" s="186">
        <f t="shared" si="65"/>
      </c>
      <c r="F311" s="186">
        <f t="shared" si="76"/>
      </c>
      <c r="G311" s="186">
        <f t="shared" si="77"/>
      </c>
      <c r="H311" s="186">
        <f t="shared" si="66"/>
      </c>
      <c r="I311" s="185">
        <f>IF(B300="","","End of year 25")</f>
      </c>
    </row>
    <row r="312" spans="1:8" ht="15">
      <c r="A312" s="189">
        <f>IF(B312="","","Jan")</f>
      </c>
      <c r="B312">
        <f t="shared" si="70"/>
      </c>
      <c r="C312" s="180">
        <f t="shared" si="75"/>
      </c>
      <c r="D312" s="180">
        <f t="shared" si="71"/>
      </c>
      <c r="E312" s="180">
        <f t="shared" si="65"/>
      </c>
      <c r="F312" s="180">
        <f t="shared" si="76"/>
      </c>
      <c r="G312" s="180">
        <f t="shared" si="77"/>
      </c>
      <c r="H312" s="180">
        <f t="shared" si="66"/>
      </c>
    </row>
    <row r="313" spans="1:8" ht="15">
      <c r="A313" s="189">
        <f>IF(B313="","","Feb")</f>
      </c>
      <c r="B313">
        <f t="shared" si="70"/>
      </c>
      <c r="C313" s="180">
        <f t="shared" si="75"/>
      </c>
      <c r="D313" s="180">
        <f t="shared" si="71"/>
      </c>
      <c r="E313" s="180">
        <f t="shared" si="65"/>
      </c>
      <c r="F313" s="180">
        <f t="shared" si="76"/>
      </c>
      <c r="G313" s="180">
        <f t="shared" si="77"/>
      </c>
      <c r="H313" s="180">
        <f t="shared" si="66"/>
      </c>
    </row>
    <row r="314" spans="1:8" ht="15">
      <c r="A314" s="189">
        <f>IF(B314="","","Mar")</f>
      </c>
      <c r="B314">
        <f t="shared" si="70"/>
      </c>
      <c r="C314" s="180">
        <f t="shared" si="75"/>
      </c>
      <c r="D314" s="180">
        <f t="shared" si="71"/>
      </c>
      <c r="E314" s="180">
        <f t="shared" si="65"/>
      </c>
      <c r="F314" s="180">
        <f t="shared" si="76"/>
      </c>
      <c r="G314" s="180">
        <f t="shared" si="77"/>
      </c>
      <c r="H314" s="180">
        <f t="shared" si="66"/>
      </c>
    </row>
    <row r="315" spans="1:8" ht="15">
      <c r="A315" s="189">
        <f>IF(B315="","","Apr")</f>
      </c>
      <c r="B315">
        <f t="shared" si="70"/>
      </c>
      <c r="C315" s="180">
        <f t="shared" si="75"/>
      </c>
      <c r="D315" s="180">
        <f t="shared" si="71"/>
      </c>
      <c r="E315" s="180">
        <f t="shared" si="65"/>
      </c>
      <c r="F315" s="180">
        <f t="shared" si="76"/>
      </c>
      <c r="G315" s="180">
        <f t="shared" si="77"/>
      </c>
      <c r="H315" s="180">
        <f t="shared" si="66"/>
      </c>
    </row>
    <row r="316" spans="1:8" ht="15">
      <c r="A316" s="189">
        <f>IF(B316="","","May")</f>
      </c>
      <c r="B316">
        <f t="shared" si="70"/>
      </c>
      <c r="C316" s="180">
        <f t="shared" si="75"/>
      </c>
      <c r="D316" s="180">
        <f t="shared" si="71"/>
      </c>
      <c r="E316" s="180">
        <f t="shared" si="65"/>
      </c>
      <c r="F316" s="180">
        <f t="shared" si="76"/>
      </c>
      <c r="G316" s="180">
        <f t="shared" si="77"/>
      </c>
      <c r="H316" s="180">
        <f t="shared" si="66"/>
      </c>
    </row>
    <row r="317" spans="1:8" ht="15">
      <c r="A317" s="189">
        <f>IF(B317="","","Jun")</f>
      </c>
      <c r="B317">
        <f t="shared" si="70"/>
      </c>
      <c r="C317" s="180">
        <f t="shared" si="75"/>
      </c>
      <c r="D317" s="180">
        <f t="shared" si="71"/>
      </c>
      <c r="E317" s="180">
        <f t="shared" si="65"/>
      </c>
      <c r="F317" s="180">
        <f t="shared" si="76"/>
      </c>
      <c r="G317" s="180">
        <f t="shared" si="77"/>
      </c>
      <c r="H317" s="180">
        <f t="shared" si="66"/>
      </c>
    </row>
    <row r="318" spans="1:8" ht="15">
      <c r="A318" s="189">
        <f>IF(B318="","","Jul")</f>
      </c>
      <c r="B318">
        <f t="shared" si="70"/>
      </c>
      <c r="C318" s="180">
        <f aca="true" t="shared" si="78" ref="C318:C333">IF(B318="","",F317)</f>
      </c>
      <c r="D318" s="180">
        <f t="shared" si="71"/>
      </c>
      <c r="E318" s="180">
        <f t="shared" si="65"/>
      </c>
      <c r="F318" s="180">
        <f aca="true" t="shared" si="79" ref="F318:F333">IF(B318="","",C318-E318)</f>
      </c>
      <c r="G318" s="180">
        <f aca="true" t="shared" si="80" ref="G318:G333">IF(B318="","",G317+E318)</f>
      </c>
      <c r="H318" s="180">
        <f t="shared" si="66"/>
      </c>
    </row>
    <row r="319" spans="1:9" ht="15">
      <c r="A319" s="189">
        <f>IF(B319="","","Aug")</f>
      </c>
      <c r="B319">
        <f t="shared" si="70"/>
      </c>
      <c r="C319" s="180">
        <f t="shared" si="78"/>
      </c>
      <c r="D319" s="180">
        <f t="shared" si="71"/>
      </c>
      <c r="E319" s="180">
        <f t="shared" si="65"/>
      </c>
      <c r="F319" s="180">
        <f t="shared" si="79"/>
      </c>
      <c r="G319" s="180">
        <f t="shared" si="80"/>
      </c>
      <c r="H319" s="180">
        <f t="shared" si="66"/>
      </c>
      <c r="I319" s="183">
        <f>IF(B312="","","Principal")</f>
      </c>
    </row>
    <row r="320" spans="1:9" ht="15">
      <c r="A320" s="189">
        <f>IF(B320="","","Sep")</f>
      </c>
      <c r="B320">
        <f t="shared" si="70"/>
      </c>
      <c r="C320" s="180">
        <f t="shared" si="78"/>
      </c>
      <c r="D320" s="180">
        <f t="shared" si="71"/>
      </c>
      <c r="E320" s="180">
        <f t="shared" si="65"/>
      </c>
      <c r="F320" s="180">
        <f t="shared" si="79"/>
      </c>
      <c r="G320" s="180">
        <f t="shared" si="80"/>
      </c>
      <c r="H320" s="180">
        <f t="shared" si="66"/>
      </c>
      <c r="I320" s="184">
        <f>IF(B312="","",SUM(E312:E323))</f>
      </c>
    </row>
    <row r="321" spans="1:9" ht="15">
      <c r="A321" s="189">
        <f>IF(B321="","","Oct")</f>
      </c>
      <c r="B321">
        <f t="shared" si="70"/>
      </c>
      <c r="C321" s="180">
        <f t="shared" si="78"/>
      </c>
      <c r="D321" s="180">
        <f t="shared" si="71"/>
      </c>
      <c r="E321" s="180">
        <f t="shared" si="65"/>
      </c>
      <c r="F321" s="180">
        <f t="shared" si="79"/>
      </c>
      <c r="G321" s="180">
        <f t="shared" si="80"/>
      </c>
      <c r="H321" s="180">
        <f t="shared" si="66"/>
      </c>
      <c r="I321" s="183">
        <f>IF(B312="","","Interest")</f>
      </c>
    </row>
    <row r="322" spans="1:9" ht="15">
      <c r="A322" s="189">
        <f>IF(B322="","","Nov")</f>
      </c>
      <c r="B322">
        <f t="shared" si="70"/>
      </c>
      <c r="C322" s="180">
        <f t="shared" si="78"/>
      </c>
      <c r="D322" s="180">
        <f t="shared" si="71"/>
      </c>
      <c r="E322" s="180">
        <f t="shared" si="65"/>
      </c>
      <c r="F322" s="180">
        <f t="shared" si="79"/>
      </c>
      <c r="G322" s="180">
        <f t="shared" si="80"/>
      </c>
      <c r="H322" s="180">
        <f t="shared" si="66"/>
      </c>
      <c r="I322" s="184">
        <f>IF(B312="","",SUM(D312:D323))</f>
      </c>
    </row>
    <row r="323" spans="1:9" ht="15">
      <c r="A323" s="190">
        <f>IF(B323="","","Dec")</f>
      </c>
      <c r="B323" s="185">
        <f t="shared" si="70"/>
      </c>
      <c r="C323" s="186">
        <f t="shared" si="78"/>
      </c>
      <c r="D323" s="186">
        <f t="shared" si="71"/>
      </c>
      <c r="E323" s="186">
        <f t="shared" si="65"/>
      </c>
      <c r="F323" s="186">
        <f t="shared" si="79"/>
      </c>
      <c r="G323" s="186">
        <f t="shared" si="80"/>
      </c>
      <c r="H323" s="186">
        <f t="shared" si="66"/>
      </c>
      <c r="I323" s="185">
        <f>IF(B312="","","End of year 26")</f>
      </c>
    </row>
    <row r="324" spans="1:8" ht="15">
      <c r="A324" s="189">
        <f>IF(B324="","","Jan")</f>
      </c>
      <c r="B324">
        <f t="shared" si="70"/>
      </c>
      <c r="C324" s="180">
        <f t="shared" si="78"/>
      </c>
      <c r="D324" s="180">
        <f t="shared" si="71"/>
      </c>
      <c r="E324" s="180">
        <f t="shared" si="65"/>
      </c>
      <c r="F324" s="180">
        <f t="shared" si="79"/>
      </c>
      <c r="G324" s="180">
        <f t="shared" si="80"/>
      </c>
      <c r="H324" s="180">
        <f t="shared" si="66"/>
      </c>
    </row>
    <row r="325" spans="1:8" ht="15">
      <c r="A325" s="189">
        <f>IF(B325="","","Feb")</f>
      </c>
      <c r="B325">
        <f t="shared" si="70"/>
      </c>
      <c r="C325" s="180">
        <f t="shared" si="78"/>
      </c>
      <c r="D325" s="180">
        <f t="shared" si="71"/>
      </c>
      <c r="E325" s="180">
        <f t="shared" si="65"/>
      </c>
      <c r="F325" s="180">
        <f t="shared" si="79"/>
      </c>
      <c r="G325" s="180">
        <f t="shared" si="80"/>
      </c>
      <c r="H325" s="180">
        <f t="shared" si="66"/>
      </c>
    </row>
    <row r="326" spans="1:8" ht="15">
      <c r="A326" s="189">
        <f>IF(B326="","","Mar")</f>
      </c>
      <c r="B326">
        <f t="shared" si="70"/>
      </c>
      <c r="C326" s="180">
        <f t="shared" si="78"/>
      </c>
      <c r="D326" s="180">
        <f t="shared" si="71"/>
      </c>
      <c r="E326" s="180">
        <f t="shared" si="65"/>
      </c>
      <c r="F326" s="180">
        <f t="shared" si="79"/>
      </c>
      <c r="G326" s="180">
        <f t="shared" si="80"/>
      </c>
      <c r="H326" s="180">
        <f t="shared" si="66"/>
      </c>
    </row>
    <row r="327" spans="1:8" ht="15">
      <c r="A327" s="189">
        <f>IF(B327="","","Apr")</f>
      </c>
      <c r="B327">
        <f t="shared" si="70"/>
      </c>
      <c r="C327" s="180">
        <f t="shared" si="78"/>
      </c>
      <c r="D327" s="180">
        <f t="shared" si="71"/>
      </c>
      <c r="E327" s="180">
        <f t="shared" si="65"/>
      </c>
      <c r="F327" s="180">
        <f t="shared" si="79"/>
      </c>
      <c r="G327" s="180">
        <f t="shared" si="80"/>
      </c>
      <c r="H327" s="180">
        <f t="shared" si="66"/>
      </c>
    </row>
    <row r="328" spans="1:8" ht="15">
      <c r="A328" s="189">
        <f>IF(B328="","","May")</f>
      </c>
      <c r="B328">
        <f t="shared" si="70"/>
      </c>
      <c r="C328" s="180">
        <f t="shared" si="78"/>
      </c>
      <c r="D328" s="180">
        <f t="shared" si="71"/>
      </c>
      <c r="E328" s="180">
        <f t="shared" si="65"/>
      </c>
      <c r="F328" s="180">
        <f t="shared" si="79"/>
      </c>
      <c r="G328" s="180">
        <f t="shared" si="80"/>
      </c>
      <c r="H328" s="180">
        <f t="shared" si="66"/>
      </c>
    </row>
    <row r="329" spans="1:8" ht="15">
      <c r="A329" s="189">
        <f>IF(B329="","","Jun")</f>
      </c>
      <c r="B329">
        <f t="shared" si="70"/>
      </c>
      <c r="C329" s="180">
        <f t="shared" si="78"/>
      </c>
      <c r="D329" s="180">
        <f t="shared" si="71"/>
      </c>
      <c r="E329" s="180">
        <f t="shared" si="65"/>
      </c>
      <c r="F329" s="180">
        <f t="shared" si="79"/>
      </c>
      <c r="G329" s="180">
        <f t="shared" si="80"/>
      </c>
      <c r="H329" s="180">
        <f t="shared" si="66"/>
      </c>
    </row>
    <row r="330" spans="1:8" ht="15">
      <c r="A330" s="189">
        <f>IF(B330="","","Jul")</f>
      </c>
      <c r="B330">
        <f t="shared" si="70"/>
      </c>
      <c r="C330" s="180">
        <f t="shared" si="78"/>
      </c>
      <c r="D330" s="180">
        <f t="shared" si="71"/>
      </c>
      <c r="E330" s="180">
        <f t="shared" si="65"/>
      </c>
      <c r="F330" s="180">
        <f t="shared" si="79"/>
      </c>
      <c r="G330" s="180">
        <f t="shared" si="80"/>
      </c>
      <c r="H330" s="180">
        <f t="shared" si="66"/>
      </c>
    </row>
    <row r="331" spans="1:9" ht="15">
      <c r="A331" s="189">
        <f>IF(B331="","","Aug")</f>
      </c>
      <c r="B331">
        <f t="shared" si="70"/>
      </c>
      <c r="C331" s="180">
        <f t="shared" si="78"/>
      </c>
      <c r="D331" s="180">
        <f t="shared" si="71"/>
      </c>
      <c r="E331" s="180">
        <f t="shared" si="65"/>
      </c>
      <c r="F331" s="180">
        <f t="shared" si="79"/>
      </c>
      <c r="G331" s="180">
        <f t="shared" si="80"/>
      </c>
      <c r="H331" s="180">
        <f t="shared" si="66"/>
      </c>
      <c r="I331" s="183">
        <f>IF(B324="","","Principal")</f>
      </c>
    </row>
    <row r="332" spans="1:9" ht="15">
      <c r="A332" s="189">
        <f>IF(B332="","","Sep")</f>
      </c>
      <c r="B332">
        <f t="shared" si="70"/>
      </c>
      <c r="C332" s="180">
        <f t="shared" si="78"/>
      </c>
      <c r="D332" s="180">
        <f t="shared" si="71"/>
      </c>
      <c r="E332" s="180">
        <f t="shared" si="65"/>
      </c>
      <c r="F332" s="180">
        <f t="shared" si="79"/>
      </c>
      <c r="G332" s="180">
        <f t="shared" si="80"/>
      </c>
      <c r="H332" s="180">
        <f t="shared" si="66"/>
      </c>
      <c r="I332" s="184">
        <f>IF(B324="","",SUM(E324:E335))</f>
      </c>
    </row>
    <row r="333" spans="1:9" ht="15">
      <c r="A333" s="189">
        <f>IF(B333="","","Oct")</f>
      </c>
      <c r="B333">
        <f t="shared" si="70"/>
      </c>
      <c r="C333" s="180">
        <f t="shared" si="78"/>
      </c>
      <c r="D333" s="180">
        <f t="shared" si="71"/>
      </c>
      <c r="E333" s="180">
        <f aca="true" t="shared" si="81" ref="E333:E383">IF(B333="","",IF(C333+D333&lt;($G$3+$C$7),(C333+D333)-D333,($G$3+$C$7)-D333))</f>
      </c>
      <c r="F333" s="180">
        <f t="shared" si="79"/>
      </c>
      <c r="G333" s="180">
        <f t="shared" si="80"/>
      </c>
      <c r="H333" s="180">
        <f aca="true" t="shared" si="82" ref="H333:H348">IF(B333="","",H332+D333)</f>
      </c>
      <c r="I333" s="183">
        <f>IF(B324="","","Interest")</f>
      </c>
    </row>
    <row r="334" spans="1:9" ht="15">
      <c r="A334" s="189">
        <f>IF(B334="","","Nov")</f>
      </c>
      <c r="B334">
        <f t="shared" si="70"/>
      </c>
      <c r="C334" s="180">
        <f aca="true" t="shared" si="83" ref="C334:C349">IF(B334="","",F333)</f>
      </c>
      <c r="D334" s="180">
        <f t="shared" si="71"/>
      </c>
      <c r="E334" s="180">
        <f t="shared" si="81"/>
      </c>
      <c r="F334" s="180">
        <f aca="true" t="shared" si="84" ref="F334:F349">IF(B334="","",C334-E334)</f>
      </c>
      <c r="G334" s="180">
        <f aca="true" t="shared" si="85" ref="G334:G349">IF(B334="","",G333+E334)</f>
      </c>
      <c r="H334" s="180">
        <f t="shared" si="82"/>
      </c>
      <c r="I334" s="184">
        <f>IF(B324="","",SUM(D324:D335))</f>
      </c>
    </row>
    <row r="335" spans="1:9" ht="15">
      <c r="A335" s="190">
        <f>IF(B335="","","Dec")</f>
      </c>
      <c r="B335" s="185">
        <f t="shared" si="70"/>
      </c>
      <c r="C335" s="186">
        <f t="shared" si="83"/>
      </c>
      <c r="D335" s="186">
        <f t="shared" si="71"/>
      </c>
      <c r="E335" s="186">
        <f t="shared" si="81"/>
      </c>
      <c r="F335" s="186">
        <f t="shared" si="84"/>
      </c>
      <c r="G335" s="186">
        <f t="shared" si="85"/>
      </c>
      <c r="H335" s="186">
        <f t="shared" si="82"/>
      </c>
      <c r="I335" s="185">
        <f>IF(B324="","","End of year 27")</f>
      </c>
    </row>
    <row r="336" spans="1:8" ht="15">
      <c r="A336" s="189">
        <f>IF(B336="","","Jan")</f>
      </c>
      <c r="B336">
        <f t="shared" si="70"/>
      </c>
      <c r="C336" s="180">
        <f t="shared" si="83"/>
      </c>
      <c r="D336" s="180">
        <f t="shared" si="71"/>
      </c>
      <c r="E336" s="180">
        <f t="shared" si="81"/>
      </c>
      <c r="F336" s="180">
        <f t="shared" si="84"/>
      </c>
      <c r="G336" s="180">
        <f t="shared" si="85"/>
      </c>
      <c r="H336" s="180">
        <f t="shared" si="82"/>
      </c>
    </row>
    <row r="337" spans="1:8" ht="15">
      <c r="A337" s="189">
        <f>IF(B337="","","Feb")</f>
      </c>
      <c r="B337">
        <f t="shared" si="70"/>
      </c>
      <c r="C337" s="180">
        <f t="shared" si="83"/>
      </c>
      <c r="D337" s="180">
        <f t="shared" si="71"/>
      </c>
      <c r="E337" s="180">
        <f t="shared" si="81"/>
      </c>
      <c r="F337" s="180">
        <f t="shared" si="84"/>
      </c>
      <c r="G337" s="180">
        <f t="shared" si="85"/>
      </c>
      <c r="H337" s="180">
        <f t="shared" si="82"/>
      </c>
    </row>
    <row r="338" spans="1:8" ht="15">
      <c r="A338" s="189">
        <f>IF(B338="","","Mar")</f>
      </c>
      <c r="B338">
        <f t="shared" si="70"/>
      </c>
      <c r="C338" s="180">
        <f t="shared" si="83"/>
      </c>
      <c r="D338" s="180">
        <f t="shared" si="71"/>
      </c>
      <c r="E338" s="180">
        <f t="shared" si="81"/>
      </c>
      <c r="F338" s="180">
        <f t="shared" si="84"/>
      </c>
      <c r="G338" s="180">
        <f t="shared" si="85"/>
      </c>
      <c r="H338" s="180">
        <f t="shared" si="82"/>
      </c>
    </row>
    <row r="339" spans="1:8" ht="15">
      <c r="A339" s="189">
        <f>IF(B339="","","Apr")</f>
      </c>
      <c r="B339">
        <f t="shared" si="70"/>
      </c>
      <c r="C339" s="180">
        <f t="shared" si="83"/>
      </c>
      <c r="D339" s="180">
        <f t="shared" si="71"/>
      </c>
      <c r="E339" s="180">
        <f t="shared" si="81"/>
      </c>
      <c r="F339" s="180">
        <f t="shared" si="84"/>
      </c>
      <c r="G339" s="180">
        <f t="shared" si="85"/>
      </c>
      <c r="H339" s="180">
        <f t="shared" si="82"/>
      </c>
    </row>
    <row r="340" spans="1:8" ht="15">
      <c r="A340" s="189">
        <f>IF(B340="","","May")</f>
      </c>
      <c r="B340">
        <f t="shared" si="70"/>
      </c>
      <c r="C340" s="180">
        <f t="shared" si="83"/>
      </c>
      <c r="D340" s="180">
        <f t="shared" si="71"/>
      </c>
      <c r="E340" s="180">
        <f t="shared" si="81"/>
      </c>
      <c r="F340" s="180">
        <f t="shared" si="84"/>
      </c>
      <c r="G340" s="180">
        <f t="shared" si="85"/>
      </c>
      <c r="H340" s="180">
        <f t="shared" si="82"/>
      </c>
    </row>
    <row r="341" spans="1:8" ht="15">
      <c r="A341" s="189">
        <f>IF(B341="","","Jun")</f>
      </c>
      <c r="B341">
        <f t="shared" si="70"/>
      </c>
      <c r="C341" s="180">
        <f t="shared" si="83"/>
      </c>
      <c r="D341" s="180">
        <f t="shared" si="71"/>
      </c>
      <c r="E341" s="180">
        <f t="shared" si="81"/>
      </c>
      <c r="F341" s="180">
        <f t="shared" si="84"/>
      </c>
      <c r="G341" s="180">
        <f t="shared" si="85"/>
      </c>
      <c r="H341" s="180">
        <f t="shared" si="82"/>
      </c>
    </row>
    <row r="342" spans="1:8" ht="15">
      <c r="A342" s="189">
        <f>IF(B342="","","Jul")</f>
      </c>
      <c r="B342">
        <f t="shared" si="70"/>
      </c>
      <c r="C342" s="180">
        <f t="shared" si="83"/>
      </c>
      <c r="D342" s="180">
        <f t="shared" si="71"/>
      </c>
      <c r="E342" s="180">
        <f t="shared" si="81"/>
      </c>
      <c r="F342" s="180">
        <f t="shared" si="84"/>
      </c>
      <c r="G342" s="180">
        <f t="shared" si="85"/>
      </c>
      <c r="H342" s="180">
        <f t="shared" si="82"/>
      </c>
    </row>
    <row r="343" spans="1:9" ht="15">
      <c r="A343" s="189">
        <f>IF(B343="","","Aug")</f>
      </c>
      <c r="B343">
        <f t="shared" si="70"/>
      </c>
      <c r="C343" s="180">
        <f t="shared" si="83"/>
      </c>
      <c r="D343" s="180">
        <f t="shared" si="71"/>
      </c>
      <c r="E343" s="180">
        <f t="shared" si="81"/>
      </c>
      <c r="F343" s="180">
        <f t="shared" si="84"/>
      </c>
      <c r="G343" s="180">
        <f t="shared" si="85"/>
      </c>
      <c r="H343" s="180">
        <f t="shared" si="82"/>
      </c>
      <c r="I343" s="183">
        <f>IF(B336="","","Principal")</f>
      </c>
    </row>
    <row r="344" spans="1:9" ht="15">
      <c r="A344" s="189">
        <f>IF(B344="","","Sep")</f>
      </c>
      <c r="B344">
        <f t="shared" si="70"/>
      </c>
      <c r="C344" s="180">
        <f t="shared" si="83"/>
      </c>
      <c r="D344" s="180">
        <f t="shared" si="71"/>
      </c>
      <c r="E344" s="180">
        <f t="shared" si="81"/>
      </c>
      <c r="F344" s="180">
        <f t="shared" si="84"/>
      </c>
      <c r="G344" s="180">
        <f t="shared" si="85"/>
      </c>
      <c r="H344" s="180">
        <f t="shared" si="82"/>
      </c>
      <c r="I344" s="184">
        <f>IF(B336="","",SUM(E336:E347))</f>
      </c>
    </row>
    <row r="345" spans="1:9" ht="15">
      <c r="A345" s="189">
        <f>IF(B345="","","Oct")</f>
      </c>
      <c r="B345">
        <f aca="true" t="shared" si="86" ref="B345:B383">IF(B344=ABS($C$5),"",IF(B344="","",IF(G344&gt;=$C$3,"",B344+1)))</f>
      </c>
      <c r="C345" s="180">
        <f t="shared" si="83"/>
      </c>
      <c r="D345" s="180">
        <f t="shared" si="71"/>
      </c>
      <c r="E345" s="180">
        <f t="shared" si="81"/>
      </c>
      <c r="F345" s="180">
        <f t="shared" si="84"/>
      </c>
      <c r="G345" s="180">
        <f t="shared" si="85"/>
      </c>
      <c r="H345" s="180">
        <f t="shared" si="82"/>
      </c>
      <c r="I345" s="183">
        <f>IF(B336="","","Interest")</f>
      </c>
    </row>
    <row r="346" spans="1:9" ht="15">
      <c r="A346" s="189">
        <f>IF(B346="","","Nov")</f>
      </c>
      <c r="B346">
        <f t="shared" si="86"/>
      </c>
      <c r="C346" s="180">
        <f t="shared" si="83"/>
      </c>
      <c r="D346" s="180">
        <f aca="true" t="shared" si="87" ref="D346:D383">IF(B346="","",C346*(($C$4/100)/12))</f>
      </c>
      <c r="E346" s="180">
        <f t="shared" si="81"/>
      </c>
      <c r="F346" s="180">
        <f t="shared" si="84"/>
      </c>
      <c r="G346" s="180">
        <f t="shared" si="85"/>
      </c>
      <c r="H346" s="180">
        <f t="shared" si="82"/>
      </c>
      <c r="I346" s="184">
        <f>IF(B336="","",SUM(D336:D347))</f>
      </c>
    </row>
    <row r="347" spans="1:9" ht="15">
      <c r="A347" s="190">
        <f>IF(B347="","","Dec")</f>
      </c>
      <c r="B347" s="185">
        <f t="shared" si="86"/>
      </c>
      <c r="C347" s="186">
        <f t="shared" si="83"/>
      </c>
      <c r="D347" s="186">
        <f t="shared" si="87"/>
      </c>
      <c r="E347" s="186">
        <f t="shared" si="81"/>
      </c>
      <c r="F347" s="186">
        <f t="shared" si="84"/>
      </c>
      <c r="G347" s="186">
        <f t="shared" si="85"/>
      </c>
      <c r="H347" s="186">
        <f t="shared" si="82"/>
      </c>
      <c r="I347" s="185">
        <f>IF(B336="","","End of year 28")</f>
      </c>
    </row>
    <row r="348" spans="1:8" ht="15">
      <c r="A348" s="189">
        <f>IF(B348="","","Jan")</f>
      </c>
      <c r="B348">
        <f t="shared" si="86"/>
      </c>
      <c r="C348" s="180">
        <f t="shared" si="83"/>
      </c>
      <c r="D348" s="180">
        <f t="shared" si="87"/>
      </c>
      <c r="E348" s="180">
        <f t="shared" si="81"/>
      </c>
      <c r="F348" s="180">
        <f t="shared" si="84"/>
      </c>
      <c r="G348" s="180">
        <f t="shared" si="85"/>
      </c>
      <c r="H348" s="180">
        <f t="shared" si="82"/>
      </c>
    </row>
    <row r="349" spans="1:8" ht="15">
      <c r="A349" s="189">
        <f>IF(B349="","","Feb")</f>
      </c>
      <c r="B349">
        <f t="shared" si="86"/>
      </c>
      <c r="C349" s="180">
        <f t="shared" si="83"/>
      </c>
      <c r="D349" s="180">
        <f t="shared" si="87"/>
      </c>
      <c r="E349" s="180">
        <f t="shared" si="81"/>
      </c>
      <c r="F349" s="180">
        <f t="shared" si="84"/>
      </c>
      <c r="G349" s="180">
        <f t="shared" si="85"/>
      </c>
      <c r="H349" s="180">
        <f aca="true" t="shared" si="88" ref="H349:H364">IF(B349="","",H348+D349)</f>
      </c>
    </row>
    <row r="350" spans="1:8" ht="15">
      <c r="A350" s="189">
        <f>IF(B350="","","Mar")</f>
      </c>
      <c r="B350">
        <f t="shared" si="86"/>
      </c>
      <c r="C350" s="180">
        <f aca="true" t="shared" si="89" ref="C350:C365">IF(B350="","",F349)</f>
      </c>
      <c r="D350" s="180">
        <f t="shared" si="87"/>
      </c>
      <c r="E350" s="180">
        <f t="shared" si="81"/>
      </c>
      <c r="F350" s="180">
        <f aca="true" t="shared" si="90" ref="F350:F365">IF(B350="","",C350-E350)</f>
      </c>
      <c r="G350" s="180">
        <f aca="true" t="shared" si="91" ref="G350:G365">IF(B350="","",G349+E350)</f>
      </c>
      <c r="H350" s="180">
        <f t="shared" si="88"/>
      </c>
    </row>
    <row r="351" spans="1:8" ht="15">
      <c r="A351" s="189">
        <f>IF(B351="","","Apr")</f>
      </c>
      <c r="B351">
        <f t="shared" si="86"/>
      </c>
      <c r="C351" s="180">
        <f t="shared" si="89"/>
      </c>
      <c r="D351" s="180">
        <f t="shared" si="87"/>
      </c>
      <c r="E351" s="180">
        <f t="shared" si="81"/>
      </c>
      <c r="F351" s="180">
        <f t="shared" si="90"/>
      </c>
      <c r="G351" s="180">
        <f t="shared" si="91"/>
      </c>
      <c r="H351" s="180">
        <f t="shared" si="88"/>
      </c>
    </row>
    <row r="352" spans="1:8" ht="15">
      <c r="A352" s="189">
        <f>IF(B352="","","May")</f>
      </c>
      <c r="B352">
        <f t="shared" si="86"/>
      </c>
      <c r="C352" s="180">
        <f t="shared" si="89"/>
      </c>
      <c r="D352" s="180">
        <f t="shared" si="87"/>
      </c>
      <c r="E352" s="180">
        <f t="shared" si="81"/>
      </c>
      <c r="F352" s="180">
        <f t="shared" si="90"/>
      </c>
      <c r="G352" s="180">
        <f t="shared" si="91"/>
      </c>
      <c r="H352" s="180">
        <f t="shared" si="88"/>
      </c>
    </row>
    <row r="353" spans="1:8" ht="15">
      <c r="A353" s="189">
        <f>IF(B353="","","Jun")</f>
      </c>
      <c r="B353">
        <f t="shared" si="86"/>
      </c>
      <c r="C353" s="180">
        <f t="shared" si="89"/>
      </c>
      <c r="D353" s="180">
        <f t="shared" si="87"/>
      </c>
      <c r="E353" s="180">
        <f t="shared" si="81"/>
      </c>
      <c r="F353" s="180">
        <f t="shared" si="90"/>
      </c>
      <c r="G353" s="180">
        <f t="shared" si="91"/>
      </c>
      <c r="H353" s="180">
        <f t="shared" si="88"/>
      </c>
    </row>
    <row r="354" spans="1:8" ht="15">
      <c r="A354" s="189">
        <f>IF(B354="","","Jul")</f>
      </c>
      <c r="B354">
        <f t="shared" si="86"/>
      </c>
      <c r="C354" s="180">
        <f t="shared" si="89"/>
      </c>
      <c r="D354" s="180">
        <f t="shared" si="87"/>
      </c>
      <c r="E354" s="180">
        <f t="shared" si="81"/>
      </c>
      <c r="F354" s="180">
        <f t="shared" si="90"/>
      </c>
      <c r="G354" s="180">
        <f t="shared" si="91"/>
      </c>
      <c r="H354" s="180">
        <f t="shared" si="88"/>
      </c>
    </row>
    <row r="355" spans="1:9" ht="15">
      <c r="A355" s="189">
        <f>IF(B355="","","Aug")</f>
      </c>
      <c r="B355">
        <f t="shared" si="86"/>
      </c>
      <c r="C355" s="180">
        <f t="shared" si="89"/>
      </c>
      <c r="D355" s="180">
        <f t="shared" si="87"/>
      </c>
      <c r="E355" s="180">
        <f t="shared" si="81"/>
      </c>
      <c r="F355" s="180">
        <f t="shared" si="90"/>
      </c>
      <c r="G355" s="180">
        <f t="shared" si="91"/>
      </c>
      <c r="H355" s="180">
        <f t="shared" si="88"/>
      </c>
      <c r="I355" s="183">
        <f>IF(B348="","","Principal")</f>
      </c>
    </row>
    <row r="356" spans="1:9" ht="15">
      <c r="A356" s="189">
        <f>IF(B356="","","Sep")</f>
      </c>
      <c r="B356">
        <f t="shared" si="86"/>
      </c>
      <c r="C356" s="180">
        <f t="shared" si="89"/>
      </c>
      <c r="D356" s="180">
        <f t="shared" si="87"/>
      </c>
      <c r="E356" s="180">
        <f t="shared" si="81"/>
      </c>
      <c r="F356" s="180">
        <f t="shared" si="90"/>
      </c>
      <c r="G356" s="180">
        <f t="shared" si="91"/>
      </c>
      <c r="H356" s="180">
        <f t="shared" si="88"/>
      </c>
      <c r="I356" s="184">
        <f>IF(B348="","",SUM(E348:E359))</f>
      </c>
    </row>
    <row r="357" spans="1:9" ht="15">
      <c r="A357" s="189">
        <f>IF(B357="","","Oct")</f>
      </c>
      <c r="B357">
        <f t="shared" si="86"/>
      </c>
      <c r="C357" s="180">
        <f t="shared" si="89"/>
      </c>
      <c r="D357" s="180">
        <f t="shared" si="87"/>
      </c>
      <c r="E357" s="180">
        <f t="shared" si="81"/>
      </c>
      <c r="F357" s="180">
        <f t="shared" si="90"/>
      </c>
      <c r="G357" s="180">
        <f t="shared" si="91"/>
      </c>
      <c r="H357" s="180">
        <f t="shared" si="88"/>
      </c>
      <c r="I357" s="183">
        <f>IF(B348="","","Interest")</f>
      </c>
    </row>
    <row r="358" spans="1:9" ht="15">
      <c r="A358" s="189">
        <f>IF(B358="","","Nov")</f>
      </c>
      <c r="B358">
        <f t="shared" si="86"/>
      </c>
      <c r="C358" s="180">
        <f t="shared" si="89"/>
      </c>
      <c r="D358" s="180">
        <f t="shared" si="87"/>
      </c>
      <c r="E358" s="180">
        <f t="shared" si="81"/>
      </c>
      <c r="F358" s="180">
        <f t="shared" si="90"/>
      </c>
      <c r="G358" s="180">
        <f t="shared" si="91"/>
      </c>
      <c r="H358" s="180">
        <f t="shared" si="88"/>
      </c>
      <c r="I358" s="184">
        <f>IF(B348="","",SUM(D348:D359))</f>
      </c>
    </row>
    <row r="359" spans="1:9" ht="15">
      <c r="A359" s="190">
        <f>IF(B359="","","Dec")</f>
      </c>
      <c r="B359" s="185">
        <f t="shared" si="86"/>
      </c>
      <c r="C359" s="186">
        <f t="shared" si="89"/>
      </c>
      <c r="D359" s="186">
        <f t="shared" si="87"/>
      </c>
      <c r="E359" s="186">
        <f t="shared" si="81"/>
      </c>
      <c r="F359" s="186">
        <f t="shared" si="90"/>
      </c>
      <c r="G359" s="186">
        <f t="shared" si="91"/>
      </c>
      <c r="H359" s="186">
        <f t="shared" si="88"/>
      </c>
      <c r="I359" s="185">
        <f>IF(B348="","","End of year 29")</f>
      </c>
    </row>
    <row r="360" spans="1:8" ht="15">
      <c r="A360" s="189">
        <f>IF(B360="","","Jan")</f>
      </c>
      <c r="B360">
        <f t="shared" si="86"/>
      </c>
      <c r="C360" s="180">
        <f t="shared" si="89"/>
      </c>
      <c r="D360" s="180">
        <f t="shared" si="87"/>
      </c>
      <c r="E360" s="180">
        <f t="shared" si="81"/>
      </c>
      <c r="F360" s="180">
        <f t="shared" si="90"/>
      </c>
      <c r="G360" s="180">
        <f t="shared" si="91"/>
      </c>
      <c r="H360" s="180">
        <f t="shared" si="88"/>
      </c>
    </row>
    <row r="361" spans="1:8" ht="15">
      <c r="A361" s="189">
        <f>IF(B361="","","Feb")</f>
      </c>
      <c r="B361">
        <f t="shared" si="86"/>
      </c>
      <c r="C361" s="180">
        <f t="shared" si="89"/>
      </c>
      <c r="D361" s="180">
        <f t="shared" si="87"/>
      </c>
      <c r="E361" s="180">
        <f t="shared" si="81"/>
      </c>
      <c r="F361" s="180">
        <f t="shared" si="90"/>
      </c>
      <c r="G361" s="180">
        <f t="shared" si="91"/>
      </c>
      <c r="H361" s="180">
        <f t="shared" si="88"/>
      </c>
    </row>
    <row r="362" spans="1:8" ht="15">
      <c r="A362" s="189">
        <f>IF(B362="","","Mar")</f>
      </c>
      <c r="B362">
        <f t="shared" si="86"/>
      </c>
      <c r="C362" s="180">
        <f t="shared" si="89"/>
      </c>
      <c r="D362" s="180">
        <f t="shared" si="87"/>
      </c>
      <c r="E362" s="180">
        <f t="shared" si="81"/>
      </c>
      <c r="F362" s="180">
        <f t="shared" si="90"/>
      </c>
      <c r="G362" s="180">
        <f t="shared" si="91"/>
      </c>
      <c r="H362" s="180">
        <f t="shared" si="88"/>
      </c>
    </row>
    <row r="363" spans="1:8" ht="15">
      <c r="A363" s="189">
        <f>IF(B363="","","Apr")</f>
      </c>
      <c r="B363">
        <f t="shared" si="86"/>
      </c>
      <c r="C363" s="180">
        <f t="shared" si="89"/>
      </c>
      <c r="D363" s="180">
        <f t="shared" si="87"/>
      </c>
      <c r="E363" s="180">
        <f t="shared" si="81"/>
      </c>
      <c r="F363" s="180">
        <f t="shared" si="90"/>
      </c>
      <c r="G363" s="180">
        <f t="shared" si="91"/>
      </c>
      <c r="H363" s="180">
        <f t="shared" si="88"/>
      </c>
    </row>
    <row r="364" spans="1:8" ht="15">
      <c r="A364" s="189">
        <f>IF(B364="","","May")</f>
      </c>
      <c r="B364">
        <f t="shared" si="86"/>
      </c>
      <c r="C364" s="180">
        <f t="shared" si="89"/>
      </c>
      <c r="D364" s="180">
        <f t="shared" si="87"/>
      </c>
      <c r="E364" s="180">
        <f t="shared" si="81"/>
      </c>
      <c r="F364" s="180">
        <f t="shared" si="90"/>
      </c>
      <c r="G364" s="180">
        <f t="shared" si="91"/>
      </c>
      <c r="H364" s="180">
        <f t="shared" si="88"/>
      </c>
    </row>
    <row r="365" spans="1:8" ht="15">
      <c r="A365" s="189">
        <f>IF(B365="","","Jun")</f>
      </c>
      <c r="B365">
        <f t="shared" si="86"/>
      </c>
      <c r="C365" s="180">
        <f t="shared" si="89"/>
      </c>
      <c r="D365" s="180">
        <f t="shared" si="87"/>
      </c>
      <c r="E365" s="180">
        <f t="shared" si="81"/>
      </c>
      <c r="F365" s="180">
        <f t="shared" si="90"/>
      </c>
      <c r="G365" s="180">
        <f t="shared" si="91"/>
      </c>
      <c r="H365" s="180">
        <f aca="true" t="shared" si="92" ref="H365:H380">IF(B365="","",H364+D365)</f>
      </c>
    </row>
    <row r="366" spans="1:8" ht="15">
      <c r="A366" s="189">
        <f>IF(B366="","","Jul")</f>
      </c>
      <c r="B366">
        <f t="shared" si="86"/>
      </c>
      <c r="C366" s="180">
        <f aca="true" t="shared" si="93" ref="C366:C381">IF(B366="","",F365)</f>
      </c>
      <c r="D366" s="180">
        <f t="shared" si="87"/>
      </c>
      <c r="E366" s="180">
        <f t="shared" si="81"/>
      </c>
      <c r="F366" s="180">
        <f aca="true" t="shared" si="94" ref="F366:F381">IF(B366="","",C366-E366)</f>
      </c>
      <c r="G366" s="180">
        <f aca="true" t="shared" si="95" ref="G366:G381">IF(B366="","",G365+E366)</f>
      </c>
      <c r="H366" s="180">
        <f t="shared" si="92"/>
      </c>
    </row>
    <row r="367" spans="1:9" ht="15">
      <c r="A367" s="189">
        <f>IF(B367="","","Aug")</f>
      </c>
      <c r="B367">
        <f t="shared" si="86"/>
      </c>
      <c r="C367" s="180">
        <f t="shared" si="93"/>
      </c>
      <c r="D367" s="180">
        <f t="shared" si="87"/>
      </c>
      <c r="E367" s="180">
        <f t="shared" si="81"/>
      </c>
      <c r="F367" s="180">
        <f t="shared" si="94"/>
      </c>
      <c r="G367" s="180">
        <f t="shared" si="95"/>
      </c>
      <c r="H367" s="180">
        <f t="shared" si="92"/>
      </c>
      <c r="I367" s="183">
        <f>IF(B360="","","Principal")</f>
      </c>
    </row>
    <row r="368" spans="1:9" ht="15">
      <c r="A368" s="189">
        <f>IF(B368="","","Sep")</f>
      </c>
      <c r="B368">
        <f t="shared" si="86"/>
      </c>
      <c r="C368" s="180">
        <f t="shared" si="93"/>
      </c>
      <c r="D368" s="180">
        <f t="shared" si="87"/>
      </c>
      <c r="E368" s="180">
        <f t="shared" si="81"/>
      </c>
      <c r="F368" s="180">
        <f t="shared" si="94"/>
      </c>
      <c r="G368" s="180">
        <f t="shared" si="95"/>
      </c>
      <c r="H368" s="180">
        <f t="shared" si="92"/>
      </c>
      <c r="I368" s="184">
        <f>IF(B360="","",SUM(E360:E371))</f>
      </c>
    </row>
    <row r="369" spans="1:9" ht="15">
      <c r="A369" s="189">
        <f>IF(B369="","","Oct")</f>
      </c>
      <c r="B369">
        <f t="shared" si="86"/>
      </c>
      <c r="C369" s="180">
        <f t="shared" si="93"/>
      </c>
      <c r="D369" s="180">
        <f t="shared" si="87"/>
      </c>
      <c r="E369" s="180">
        <f t="shared" si="81"/>
      </c>
      <c r="F369" s="180">
        <f t="shared" si="94"/>
      </c>
      <c r="G369" s="180">
        <f t="shared" si="95"/>
      </c>
      <c r="H369" s="180">
        <f t="shared" si="92"/>
      </c>
      <c r="I369" s="183">
        <f>IF(B360="","","Interest")</f>
      </c>
    </row>
    <row r="370" spans="1:9" ht="15">
      <c r="A370" s="189">
        <f>IF(B370="","","Nov")</f>
      </c>
      <c r="B370">
        <f t="shared" si="86"/>
      </c>
      <c r="C370" s="180">
        <f t="shared" si="93"/>
      </c>
      <c r="D370" s="180">
        <f t="shared" si="87"/>
      </c>
      <c r="E370" s="180">
        <f t="shared" si="81"/>
      </c>
      <c r="F370" s="180">
        <f t="shared" si="94"/>
      </c>
      <c r="G370" s="180">
        <f t="shared" si="95"/>
      </c>
      <c r="H370" s="180">
        <f t="shared" si="92"/>
      </c>
      <c r="I370" s="184">
        <f>IF(B360="","",SUM(D360:D371))</f>
      </c>
    </row>
    <row r="371" spans="1:9" ht="15">
      <c r="A371" s="190">
        <f>IF(B371="","","Dec")</f>
      </c>
      <c r="B371" s="185">
        <f t="shared" si="86"/>
      </c>
      <c r="C371" s="186">
        <f t="shared" si="93"/>
      </c>
      <c r="D371" s="186">
        <f t="shared" si="87"/>
      </c>
      <c r="E371" s="186">
        <f t="shared" si="81"/>
      </c>
      <c r="F371" s="186">
        <f t="shared" si="94"/>
      </c>
      <c r="G371" s="186">
        <f t="shared" si="95"/>
      </c>
      <c r="H371" s="186">
        <f t="shared" si="92"/>
      </c>
      <c r="I371" s="185">
        <f>IF(B360="","","End of year 30")</f>
      </c>
    </row>
    <row r="372" spans="1:8" ht="15">
      <c r="A372" s="189">
        <f>IF(B372="","","Jan")</f>
      </c>
      <c r="B372">
        <f t="shared" si="86"/>
      </c>
      <c r="C372" s="180">
        <f t="shared" si="93"/>
      </c>
      <c r="D372" s="180">
        <f t="shared" si="87"/>
      </c>
      <c r="E372" s="180">
        <f t="shared" si="81"/>
      </c>
      <c r="F372" s="180">
        <f t="shared" si="94"/>
      </c>
      <c r="G372" s="180">
        <f t="shared" si="95"/>
      </c>
      <c r="H372" s="180">
        <f t="shared" si="92"/>
      </c>
    </row>
    <row r="373" spans="1:8" ht="15">
      <c r="A373" s="189">
        <f>IF(B373="","","Feb")</f>
      </c>
      <c r="B373">
        <f t="shared" si="86"/>
      </c>
      <c r="C373" s="180">
        <f t="shared" si="93"/>
      </c>
      <c r="D373" s="180">
        <f t="shared" si="87"/>
      </c>
      <c r="E373" s="180">
        <f t="shared" si="81"/>
      </c>
      <c r="F373" s="180">
        <f t="shared" si="94"/>
      </c>
      <c r="G373" s="180">
        <f t="shared" si="95"/>
      </c>
      <c r="H373" s="180">
        <f t="shared" si="92"/>
      </c>
    </row>
    <row r="374" spans="1:8" ht="15">
      <c r="A374" s="189">
        <f>IF(B374="","","Mar")</f>
      </c>
      <c r="B374">
        <f t="shared" si="86"/>
      </c>
      <c r="C374" s="180">
        <f t="shared" si="93"/>
      </c>
      <c r="D374" s="180">
        <f t="shared" si="87"/>
      </c>
      <c r="E374" s="180">
        <f t="shared" si="81"/>
      </c>
      <c r="F374" s="180">
        <f t="shared" si="94"/>
      </c>
      <c r="G374" s="180">
        <f t="shared" si="95"/>
      </c>
      <c r="H374" s="180">
        <f t="shared" si="92"/>
      </c>
    </row>
    <row r="375" spans="1:8" ht="15">
      <c r="A375" s="189">
        <f>IF(B375="","","Apr")</f>
      </c>
      <c r="B375">
        <f t="shared" si="86"/>
      </c>
      <c r="C375" s="180">
        <f t="shared" si="93"/>
      </c>
      <c r="D375" s="180">
        <f t="shared" si="87"/>
      </c>
      <c r="E375" s="180">
        <f t="shared" si="81"/>
      </c>
      <c r="F375" s="180">
        <f t="shared" si="94"/>
      </c>
      <c r="G375" s="180">
        <f t="shared" si="95"/>
      </c>
      <c r="H375" s="180">
        <f t="shared" si="92"/>
      </c>
    </row>
    <row r="376" spans="1:8" ht="15">
      <c r="A376" s="189">
        <f>IF(B376="","","May")</f>
      </c>
      <c r="B376">
        <f t="shared" si="86"/>
      </c>
      <c r="C376" s="180">
        <f t="shared" si="93"/>
      </c>
      <c r="D376" s="180">
        <f t="shared" si="87"/>
      </c>
      <c r="E376" s="180">
        <f t="shared" si="81"/>
      </c>
      <c r="F376" s="180">
        <f t="shared" si="94"/>
      </c>
      <c r="G376" s="180">
        <f t="shared" si="95"/>
      </c>
      <c r="H376" s="180">
        <f t="shared" si="92"/>
      </c>
    </row>
    <row r="377" spans="1:8" ht="15">
      <c r="A377" s="189">
        <f>IF(B377="","","Jun")</f>
      </c>
      <c r="B377">
        <f t="shared" si="86"/>
      </c>
      <c r="C377" s="180">
        <f t="shared" si="93"/>
      </c>
      <c r="D377" s="180">
        <f t="shared" si="87"/>
      </c>
      <c r="E377" s="180">
        <f t="shared" si="81"/>
      </c>
      <c r="F377" s="180">
        <f t="shared" si="94"/>
      </c>
      <c r="G377" s="180">
        <f t="shared" si="95"/>
      </c>
      <c r="H377" s="180">
        <f t="shared" si="92"/>
      </c>
    </row>
    <row r="378" spans="1:8" ht="15">
      <c r="A378" s="189">
        <f>IF(B378="","","Jul")</f>
      </c>
      <c r="B378">
        <f t="shared" si="86"/>
      </c>
      <c r="C378" s="180">
        <f t="shared" si="93"/>
      </c>
      <c r="D378" s="180">
        <f t="shared" si="87"/>
      </c>
      <c r="E378" s="180">
        <f t="shared" si="81"/>
      </c>
      <c r="F378" s="180">
        <f t="shared" si="94"/>
      </c>
      <c r="G378" s="180">
        <f t="shared" si="95"/>
      </c>
      <c r="H378" s="180">
        <f t="shared" si="92"/>
      </c>
    </row>
    <row r="379" spans="1:9" ht="15">
      <c r="A379" s="189">
        <f>IF(B379="","","Aug")</f>
      </c>
      <c r="B379">
        <f t="shared" si="86"/>
      </c>
      <c r="C379" s="180">
        <f t="shared" si="93"/>
      </c>
      <c r="D379" s="180">
        <f t="shared" si="87"/>
      </c>
      <c r="E379" s="180">
        <f t="shared" si="81"/>
      </c>
      <c r="F379" s="180">
        <f t="shared" si="94"/>
      </c>
      <c r="G379" s="180">
        <f t="shared" si="95"/>
      </c>
      <c r="H379" s="180">
        <f t="shared" si="92"/>
      </c>
      <c r="I379" s="183">
        <f>IF(B372="","","Principal")</f>
      </c>
    </row>
    <row r="380" spans="1:9" ht="15">
      <c r="A380" s="189">
        <f>IF(B380="","","Sep")</f>
      </c>
      <c r="B380">
        <f t="shared" si="86"/>
      </c>
      <c r="C380" s="180">
        <f t="shared" si="93"/>
      </c>
      <c r="D380" s="180">
        <f t="shared" si="87"/>
      </c>
      <c r="E380" s="180">
        <f t="shared" si="81"/>
      </c>
      <c r="F380" s="180">
        <f t="shared" si="94"/>
      </c>
      <c r="G380" s="180">
        <f t="shared" si="95"/>
      </c>
      <c r="H380" s="180">
        <f t="shared" si="92"/>
      </c>
      <c r="I380" s="184">
        <f>IF(B372="","",SUM(E372:E383))</f>
      </c>
    </row>
    <row r="381" spans="1:9" ht="15">
      <c r="A381" s="189">
        <f>IF(B381="","","Oct")</f>
      </c>
      <c r="B381">
        <f t="shared" si="86"/>
      </c>
      <c r="C381" s="180">
        <f t="shared" si="93"/>
      </c>
      <c r="D381" s="180">
        <f t="shared" si="87"/>
      </c>
      <c r="E381" s="180">
        <f t="shared" si="81"/>
      </c>
      <c r="F381" s="180">
        <f t="shared" si="94"/>
      </c>
      <c r="G381" s="180">
        <f t="shared" si="95"/>
      </c>
      <c r="H381" s="180">
        <f>IF(B381="","",H380+D381)</f>
      </c>
      <c r="I381" s="183">
        <f>IF(B372="","","Interest")</f>
      </c>
    </row>
    <row r="382" spans="1:9" ht="15">
      <c r="A382" s="189">
        <f>IF(B382="","","Nov")</f>
      </c>
      <c r="B382">
        <f t="shared" si="86"/>
      </c>
      <c r="C382" s="180">
        <f>IF(B382="","",F381)</f>
      </c>
      <c r="D382" s="180">
        <f t="shared" si="87"/>
      </c>
      <c r="E382" s="180">
        <f t="shared" si="81"/>
      </c>
      <c r="F382" s="180">
        <f>IF(B382="","",C382-E382)</f>
      </c>
      <c r="G382" s="180">
        <f>IF(B382="","",G381+E382)</f>
      </c>
      <c r="H382" s="180">
        <f>IF(B382="","",H381+D382)</f>
      </c>
      <c r="I382" s="184">
        <f>IF(B372="","",SUM(D372:D383))</f>
      </c>
    </row>
    <row r="383" spans="1:9" ht="15">
      <c r="A383" s="190">
        <f>IF(B383="","","Dec")</f>
      </c>
      <c r="B383" s="185">
        <f t="shared" si="86"/>
      </c>
      <c r="C383" s="186">
        <f>IF(B383="","",F382)</f>
      </c>
      <c r="D383" s="186">
        <f t="shared" si="87"/>
      </c>
      <c r="E383" s="186">
        <f t="shared" si="81"/>
      </c>
      <c r="F383" s="186">
        <f>IF(B383="","",C383-E383)</f>
      </c>
      <c r="G383" s="186">
        <f>IF(B383="","",G382+E383)</f>
      </c>
      <c r="H383" s="186">
        <f>IF(B383="","",H382+D383)</f>
      </c>
      <c r="I383" s="185">
        <f>IF(B372="","","End of year 31")</f>
      </c>
    </row>
    <row r="384" spans="3:8" ht="15">
      <c r="C384" s="180"/>
      <c r="D384" s="180"/>
      <c r="E384" s="180"/>
      <c r="F384" s="180"/>
      <c r="G384" s="180"/>
      <c r="H384" s="180"/>
    </row>
    <row r="385" spans="3:8" ht="15">
      <c r="C385" s="180"/>
      <c r="D385" s="180"/>
      <c r="E385" s="180"/>
      <c r="F385" s="180"/>
      <c r="G385" s="180"/>
      <c r="H385" s="180"/>
    </row>
    <row r="386" spans="3:8" ht="15">
      <c r="C386" s="180"/>
      <c r="D386" s="180"/>
      <c r="E386" s="180"/>
      <c r="F386" s="180"/>
      <c r="G386" s="180"/>
      <c r="H386" s="180"/>
    </row>
    <row r="387" spans="3:8" ht="15">
      <c r="C387" s="180"/>
      <c r="D387" s="180"/>
      <c r="E387" s="180"/>
      <c r="F387" s="180"/>
      <c r="G387" s="180"/>
      <c r="H387" s="180"/>
    </row>
    <row r="388" spans="3:8" ht="15">
      <c r="C388" s="180"/>
      <c r="D388" s="180"/>
      <c r="E388" s="180"/>
      <c r="F388" s="180"/>
      <c r="G388" s="180"/>
      <c r="H388" s="180"/>
    </row>
    <row r="389" spans="3:8" ht="15">
      <c r="C389" s="180"/>
      <c r="D389" s="180"/>
      <c r="E389" s="180"/>
      <c r="F389" s="180"/>
      <c r="G389" s="180"/>
      <c r="H389" s="180"/>
    </row>
    <row r="390" spans="3:9" ht="15">
      <c r="C390" s="180"/>
      <c r="D390" s="180"/>
      <c r="E390" s="180"/>
      <c r="F390" s="180"/>
      <c r="G390" s="180"/>
      <c r="H390" s="180"/>
      <c r="I390" s="183"/>
    </row>
    <row r="391" spans="3:9" ht="15">
      <c r="C391" s="180"/>
      <c r="D391" s="180"/>
      <c r="E391" s="180"/>
      <c r="F391" s="180"/>
      <c r="G391" s="180"/>
      <c r="H391" s="180"/>
      <c r="I391" s="184"/>
    </row>
    <row r="392" spans="3:9" ht="15">
      <c r="C392" s="180"/>
      <c r="D392" s="180"/>
      <c r="E392" s="180"/>
      <c r="F392" s="180"/>
      <c r="G392" s="180"/>
      <c r="H392" s="180"/>
      <c r="I392" s="183"/>
    </row>
    <row r="393" spans="3:9" ht="15">
      <c r="C393" s="180"/>
      <c r="D393" s="180"/>
      <c r="E393" s="180"/>
      <c r="F393" s="180"/>
      <c r="G393" s="180"/>
      <c r="H393" s="180"/>
      <c r="I393" s="184"/>
    </row>
    <row r="394" spans="3:8" ht="15">
      <c r="C394" s="180"/>
      <c r="D394" s="180"/>
      <c r="E394" s="180"/>
      <c r="F394" s="180"/>
      <c r="G394" s="180"/>
      <c r="H394" s="180"/>
    </row>
    <row r="395" spans="3:8" ht="15">
      <c r="C395" s="180"/>
      <c r="D395" s="180"/>
      <c r="E395" s="180"/>
      <c r="F395" s="180"/>
      <c r="G395" s="180"/>
      <c r="H395" s="180"/>
    </row>
    <row r="396" spans="3:8" ht="15">
      <c r="C396" s="180"/>
      <c r="D396" s="180"/>
      <c r="E396" s="180"/>
      <c r="F396" s="180"/>
      <c r="G396" s="180"/>
      <c r="H396" s="180"/>
    </row>
    <row r="397" spans="3:8" ht="15">
      <c r="C397" s="180"/>
      <c r="D397" s="180"/>
      <c r="E397" s="180"/>
      <c r="F397" s="180"/>
      <c r="G397" s="180"/>
      <c r="H397" s="180"/>
    </row>
    <row r="398" spans="3:8" ht="15">
      <c r="C398" s="180"/>
      <c r="D398" s="180"/>
      <c r="E398" s="180"/>
      <c r="F398" s="180"/>
      <c r="G398" s="180"/>
      <c r="H398" s="180"/>
    </row>
    <row r="399" spans="3:8" ht="15">
      <c r="C399" s="180"/>
      <c r="D399" s="180"/>
      <c r="E399" s="180"/>
      <c r="F399" s="180"/>
      <c r="G399" s="180"/>
      <c r="H399" s="180"/>
    </row>
    <row r="400" spans="3:8" ht="15">
      <c r="C400" s="180"/>
      <c r="D400" s="180"/>
      <c r="E400" s="180"/>
      <c r="F400" s="180"/>
      <c r="G400" s="180"/>
      <c r="H400" s="180"/>
    </row>
    <row r="401" spans="3:8" ht="15">
      <c r="C401" s="180"/>
      <c r="D401" s="180"/>
      <c r="E401" s="180"/>
      <c r="F401" s="180"/>
      <c r="G401" s="180"/>
      <c r="H401" s="180"/>
    </row>
    <row r="402" spans="3:9" ht="15">
      <c r="C402" s="180"/>
      <c r="D402" s="180"/>
      <c r="E402" s="180"/>
      <c r="F402" s="180"/>
      <c r="G402" s="180"/>
      <c r="H402" s="180"/>
      <c r="I402" s="183"/>
    </row>
    <row r="403" spans="3:9" ht="15">
      <c r="C403" s="180"/>
      <c r="D403" s="180"/>
      <c r="E403" s="180"/>
      <c r="F403" s="180"/>
      <c r="G403" s="180"/>
      <c r="H403" s="180"/>
      <c r="I403" s="184"/>
    </row>
    <row r="404" spans="3:9" ht="15">
      <c r="C404" s="180"/>
      <c r="D404" s="180"/>
      <c r="E404" s="180"/>
      <c r="F404" s="180"/>
      <c r="G404" s="180"/>
      <c r="H404" s="180"/>
      <c r="I404" s="183"/>
    </row>
    <row r="405" spans="3:9" ht="15">
      <c r="C405" s="180"/>
      <c r="D405" s="180"/>
      <c r="E405" s="180"/>
      <c r="F405" s="180"/>
      <c r="G405" s="180"/>
      <c r="H405" s="180"/>
      <c r="I405" s="184"/>
    </row>
    <row r="406" spans="3:8" ht="15">
      <c r="C406" s="180"/>
      <c r="D406" s="180"/>
      <c r="E406" s="180"/>
      <c r="F406" s="180"/>
      <c r="G406" s="180"/>
      <c r="H406" s="180"/>
    </row>
    <row r="407" spans="3:8" ht="15">
      <c r="C407" s="180"/>
      <c r="D407" s="180"/>
      <c r="E407" s="180"/>
      <c r="F407" s="180"/>
      <c r="G407" s="180"/>
      <c r="H407" s="180"/>
    </row>
    <row r="408" spans="3:8" ht="15">
      <c r="C408" s="180"/>
      <c r="D408" s="180"/>
      <c r="E408" s="180"/>
      <c r="F408" s="180"/>
      <c r="G408" s="180"/>
      <c r="H408" s="180"/>
    </row>
    <row r="409" spans="3:8" ht="15">
      <c r="C409" s="180"/>
      <c r="D409" s="180"/>
      <c r="E409" s="180"/>
      <c r="F409" s="180"/>
      <c r="G409" s="180"/>
      <c r="H409" s="180"/>
    </row>
    <row r="410" spans="3:8" ht="15">
      <c r="C410" s="180"/>
      <c r="D410" s="180"/>
      <c r="E410" s="180"/>
      <c r="F410" s="180"/>
      <c r="G410" s="180"/>
      <c r="H410" s="180"/>
    </row>
    <row r="411" spans="3:8" ht="15">
      <c r="C411" s="180"/>
      <c r="D411" s="180"/>
      <c r="E411" s="180"/>
      <c r="F411" s="180"/>
      <c r="G411" s="180"/>
      <c r="H411" s="180"/>
    </row>
    <row r="412" spans="3:8" ht="15">
      <c r="C412" s="180"/>
      <c r="D412" s="180"/>
      <c r="E412" s="180"/>
      <c r="F412" s="180"/>
      <c r="G412" s="180"/>
      <c r="H412" s="180"/>
    </row>
    <row r="413" spans="3:8" ht="15">
      <c r="C413" s="180"/>
      <c r="D413" s="180"/>
      <c r="E413" s="180"/>
      <c r="F413" s="180"/>
      <c r="G413" s="180"/>
      <c r="H413" s="180"/>
    </row>
    <row r="414" spans="3:9" ht="15">
      <c r="C414" s="180"/>
      <c r="D414" s="180"/>
      <c r="E414" s="180"/>
      <c r="F414" s="180"/>
      <c r="G414" s="180"/>
      <c r="H414" s="180"/>
      <c r="I414" s="183"/>
    </row>
    <row r="415" spans="3:9" ht="15">
      <c r="C415" s="180"/>
      <c r="D415" s="180"/>
      <c r="E415" s="180"/>
      <c r="F415" s="180"/>
      <c r="G415" s="180"/>
      <c r="H415" s="180"/>
      <c r="I415" s="184"/>
    </row>
    <row r="416" spans="3:9" ht="15">
      <c r="C416" s="180"/>
      <c r="D416" s="180"/>
      <c r="E416" s="180"/>
      <c r="F416" s="180"/>
      <c r="G416" s="180"/>
      <c r="H416" s="180"/>
      <c r="I416" s="183"/>
    </row>
    <row r="417" spans="3:9" ht="15">
      <c r="C417" s="180"/>
      <c r="D417" s="180"/>
      <c r="E417" s="180"/>
      <c r="F417" s="180"/>
      <c r="G417" s="180"/>
      <c r="H417" s="180"/>
      <c r="I417" s="184"/>
    </row>
    <row r="418" spans="3:8" ht="15">
      <c r="C418" s="180"/>
      <c r="D418" s="180"/>
      <c r="E418" s="180"/>
      <c r="F418" s="180"/>
      <c r="G418" s="180"/>
      <c r="H418" s="180"/>
    </row>
    <row r="419" spans="3:8" ht="15">
      <c r="C419" s="180"/>
      <c r="D419" s="180"/>
      <c r="E419" s="180"/>
      <c r="F419" s="180"/>
      <c r="G419" s="180"/>
      <c r="H419" s="180"/>
    </row>
    <row r="420" spans="3:8" ht="15">
      <c r="C420" s="180"/>
      <c r="D420" s="180"/>
      <c r="E420" s="180"/>
      <c r="F420" s="180"/>
      <c r="G420" s="180"/>
      <c r="H420" s="180"/>
    </row>
    <row r="421" spans="3:8" ht="15">
      <c r="C421" s="180"/>
      <c r="D421" s="180"/>
      <c r="E421" s="180"/>
      <c r="F421" s="180"/>
      <c r="G421" s="180"/>
      <c r="H421" s="180"/>
    </row>
    <row r="422" spans="3:8" ht="15">
      <c r="C422" s="180"/>
      <c r="D422" s="180"/>
      <c r="E422" s="180"/>
      <c r="F422" s="180"/>
      <c r="G422" s="180"/>
      <c r="H422" s="180"/>
    </row>
    <row r="423" spans="3:8" ht="15">
      <c r="C423" s="180"/>
      <c r="D423" s="180"/>
      <c r="E423" s="180"/>
      <c r="F423" s="180"/>
      <c r="G423" s="180"/>
      <c r="H423" s="180"/>
    </row>
    <row r="424" spans="3:8" ht="15">
      <c r="C424" s="180"/>
      <c r="D424" s="180"/>
      <c r="E424" s="180"/>
      <c r="F424" s="180"/>
      <c r="G424" s="180"/>
      <c r="H424" s="180"/>
    </row>
    <row r="425" spans="3:8" ht="15">
      <c r="C425" s="180"/>
      <c r="D425" s="180"/>
      <c r="E425" s="180"/>
      <c r="F425" s="180"/>
      <c r="G425" s="180"/>
      <c r="H425" s="180"/>
    </row>
    <row r="426" spans="3:9" ht="15">
      <c r="C426" s="180"/>
      <c r="D426" s="180"/>
      <c r="E426" s="180"/>
      <c r="F426" s="180"/>
      <c r="G426" s="180"/>
      <c r="H426" s="180"/>
      <c r="I426" s="183"/>
    </row>
    <row r="427" spans="3:9" ht="15">
      <c r="C427" s="180"/>
      <c r="D427" s="180"/>
      <c r="E427" s="180"/>
      <c r="F427" s="180"/>
      <c r="G427" s="180"/>
      <c r="H427" s="180"/>
      <c r="I427" s="184"/>
    </row>
    <row r="428" spans="3:9" ht="15">
      <c r="C428" s="180"/>
      <c r="D428" s="180"/>
      <c r="E428" s="180"/>
      <c r="F428" s="180"/>
      <c r="G428" s="180"/>
      <c r="H428" s="180"/>
      <c r="I428" s="183"/>
    </row>
    <row r="429" spans="3:9" ht="15">
      <c r="C429" s="180"/>
      <c r="D429" s="180"/>
      <c r="E429" s="180"/>
      <c r="F429" s="180"/>
      <c r="G429" s="180"/>
      <c r="H429" s="180"/>
      <c r="I429" s="184"/>
    </row>
    <row r="430" spans="3:8" ht="15">
      <c r="C430" s="180"/>
      <c r="D430" s="180"/>
      <c r="E430" s="180"/>
      <c r="F430" s="180"/>
      <c r="G430" s="180"/>
      <c r="H430" s="180"/>
    </row>
    <row r="431" spans="3:8" ht="15">
      <c r="C431" s="180"/>
      <c r="D431" s="180"/>
      <c r="E431" s="180"/>
      <c r="F431" s="180"/>
      <c r="G431" s="180"/>
      <c r="H431" s="180"/>
    </row>
    <row r="432" spans="3:8" ht="15">
      <c r="C432" s="180"/>
      <c r="D432" s="180"/>
      <c r="E432" s="180"/>
      <c r="F432" s="180"/>
      <c r="G432" s="180"/>
      <c r="H432" s="180"/>
    </row>
    <row r="433" spans="3:8" ht="15">
      <c r="C433" s="180"/>
      <c r="D433" s="180"/>
      <c r="E433" s="180"/>
      <c r="F433" s="180"/>
      <c r="G433" s="180"/>
      <c r="H433" s="180"/>
    </row>
    <row r="434" spans="3:8" ht="15">
      <c r="C434" s="180"/>
      <c r="D434" s="180"/>
      <c r="E434" s="180"/>
      <c r="F434" s="180"/>
      <c r="G434" s="180"/>
      <c r="H434" s="180"/>
    </row>
    <row r="435" spans="3:8" ht="15">
      <c r="C435" s="180"/>
      <c r="D435" s="180"/>
      <c r="E435" s="180"/>
      <c r="F435" s="180"/>
      <c r="G435" s="180"/>
      <c r="H435" s="180"/>
    </row>
    <row r="436" spans="3:8" ht="15">
      <c r="C436" s="180"/>
      <c r="D436" s="180"/>
      <c r="E436" s="180"/>
      <c r="F436" s="180"/>
      <c r="G436" s="180"/>
      <c r="H436" s="180"/>
    </row>
    <row r="437" spans="3:8" ht="15">
      <c r="C437" s="180"/>
      <c r="D437" s="180"/>
      <c r="E437" s="180"/>
      <c r="F437" s="180"/>
      <c r="G437" s="180"/>
      <c r="H437" s="180"/>
    </row>
    <row r="438" spans="3:9" ht="15">
      <c r="C438" s="180"/>
      <c r="D438" s="180"/>
      <c r="E438" s="180"/>
      <c r="F438" s="180"/>
      <c r="G438" s="180"/>
      <c r="H438" s="180"/>
      <c r="I438" s="183"/>
    </row>
    <row r="439" spans="3:9" ht="15">
      <c r="C439" s="180"/>
      <c r="D439" s="180"/>
      <c r="E439" s="180"/>
      <c r="F439" s="180"/>
      <c r="G439" s="180"/>
      <c r="H439" s="180"/>
      <c r="I439" s="184"/>
    </row>
    <row r="440" spans="3:9" ht="15">
      <c r="C440" s="180"/>
      <c r="D440" s="180"/>
      <c r="E440" s="180"/>
      <c r="F440" s="180"/>
      <c r="G440" s="180"/>
      <c r="H440" s="180"/>
      <c r="I440" s="183"/>
    </row>
    <row r="441" spans="3:9" ht="15">
      <c r="C441" s="180"/>
      <c r="D441" s="180"/>
      <c r="E441" s="180"/>
      <c r="F441" s="180"/>
      <c r="G441" s="180"/>
      <c r="H441" s="180"/>
      <c r="I441" s="184"/>
    </row>
    <row r="442" spans="3:8" ht="15">
      <c r="C442" s="180"/>
      <c r="D442" s="180"/>
      <c r="E442" s="180"/>
      <c r="F442" s="180"/>
      <c r="G442" s="180"/>
      <c r="H442" s="180"/>
    </row>
    <row r="443" spans="3:8" ht="15">
      <c r="C443" s="180"/>
      <c r="D443" s="180"/>
      <c r="E443" s="180"/>
      <c r="F443" s="180"/>
      <c r="G443" s="180"/>
      <c r="H443" s="180"/>
    </row>
    <row r="444" spans="3:8" ht="15">
      <c r="C444" s="180"/>
      <c r="D444" s="180"/>
      <c r="E444" s="180"/>
      <c r="F444" s="180"/>
      <c r="G444" s="180"/>
      <c r="H444" s="180"/>
    </row>
    <row r="445" spans="3:8" ht="15">
      <c r="C445" s="180"/>
      <c r="D445" s="180"/>
      <c r="E445" s="180"/>
      <c r="F445" s="180"/>
      <c r="G445" s="180"/>
      <c r="H445" s="180"/>
    </row>
    <row r="446" spans="3:8" ht="15">
      <c r="C446" s="180"/>
      <c r="D446" s="180"/>
      <c r="E446" s="180"/>
      <c r="F446" s="180"/>
      <c r="G446" s="180"/>
      <c r="H446" s="180"/>
    </row>
    <row r="447" spans="3:8" ht="15">
      <c r="C447" s="180"/>
      <c r="D447" s="180"/>
      <c r="E447" s="180"/>
      <c r="F447" s="180"/>
      <c r="G447" s="180"/>
      <c r="H447" s="180"/>
    </row>
    <row r="448" spans="3:8" ht="15">
      <c r="C448" s="180"/>
      <c r="D448" s="180"/>
      <c r="E448" s="180"/>
      <c r="F448" s="180"/>
      <c r="G448" s="180"/>
      <c r="H448" s="180"/>
    </row>
    <row r="449" spans="3:8" ht="15">
      <c r="C449" s="180"/>
      <c r="D449" s="180"/>
      <c r="E449" s="180"/>
      <c r="F449" s="180"/>
      <c r="G449" s="180"/>
      <c r="H449" s="180"/>
    </row>
    <row r="450" spans="3:9" ht="15">
      <c r="C450" s="180"/>
      <c r="D450" s="180"/>
      <c r="E450" s="180"/>
      <c r="F450" s="180"/>
      <c r="G450" s="180"/>
      <c r="H450" s="180"/>
      <c r="I450" s="183"/>
    </row>
    <row r="451" spans="3:9" ht="15">
      <c r="C451" s="180"/>
      <c r="D451" s="180"/>
      <c r="E451" s="180"/>
      <c r="F451" s="180"/>
      <c r="G451" s="180"/>
      <c r="H451" s="180"/>
      <c r="I451" s="184"/>
    </row>
    <row r="452" spans="3:9" ht="15">
      <c r="C452" s="180"/>
      <c r="D452" s="180"/>
      <c r="E452" s="180"/>
      <c r="F452" s="180"/>
      <c r="G452" s="180"/>
      <c r="H452" s="180"/>
      <c r="I452" s="183"/>
    </row>
    <row r="453" spans="3:9" ht="15">
      <c r="C453" s="180"/>
      <c r="D453" s="180"/>
      <c r="E453" s="180"/>
      <c r="F453" s="180"/>
      <c r="G453" s="180"/>
      <c r="H453" s="180"/>
      <c r="I453" s="184"/>
    </row>
    <row r="454" spans="3:8" ht="15">
      <c r="C454" s="180"/>
      <c r="D454" s="180"/>
      <c r="E454" s="180"/>
      <c r="F454" s="180"/>
      <c r="G454" s="180"/>
      <c r="H454" s="180"/>
    </row>
    <row r="455" spans="3:8" ht="15">
      <c r="C455" s="180"/>
      <c r="D455" s="180"/>
      <c r="E455" s="180"/>
      <c r="F455" s="180"/>
      <c r="G455" s="180"/>
      <c r="H455" s="180"/>
    </row>
    <row r="456" spans="3:8" ht="15">
      <c r="C456" s="180"/>
      <c r="D456" s="180"/>
      <c r="E456" s="180"/>
      <c r="F456" s="180"/>
      <c r="G456" s="180"/>
      <c r="H456" s="180"/>
    </row>
    <row r="457" spans="3:8" ht="15">
      <c r="C457" s="180"/>
      <c r="D457" s="180"/>
      <c r="E457" s="180"/>
      <c r="F457" s="180"/>
      <c r="G457" s="180"/>
      <c r="H457" s="180"/>
    </row>
    <row r="458" spans="3:8" ht="15">
      <c r="C458" s="180"/>
      <c r="D458" s="180"/>
      <c r="E458" s="180"/>
      <c r="F458" s="180"/>
      <c r="G458" s="180"/>
      <c r="H458" s="180"/>
    </row>
    <row r="459" spans="3:8" ht="15">
      <c r="C459" s="180"/>
      <c r="D459" s="180"/>
      <c r="E459" s="180"/>
      <c r="F459" s="180"/>
      <c r="G459" s="180"/>
      <c r="H459" s="180"/>
    </row>
    <row r="460" spans="3:8" ht="15">
      <c r="C460" s="180"/>
      <c r="D460" s="180"/>
      <c r="E460" s="180"/>
      <c r="F460" s="180"/>
      <c r="G460" s="180"/>
      <c r="H460" s="180"/>
    </row>
    <row r="461" spans="3:8" ht="15">
      <c r="C461" s="180"/>
      <c r="D461" s="180"/>
      <c r="E461" s="180"/>
      <c r="F461" s="180"/>
      <c r="G461" s="180"/>
      <c r="H461" s="180"/>
    </row>
    <row r="462" spans="3:9" ht="15">
      <c r="C462" s="180"/>
      <c r="D462" s="180"/>
      <c r="E462" s="180"/>
      <c r="F462" s="180"/>
      <c r="G462" s="180"/>
      <c r="H462" s="180"/>
      <c r="I462" s="183"/>
    </row>
    <row r="463" spans="3:9" ht="15">
      <c r="C463" s="180"/>
      <c r="D463" s="180"/>
      <c r="E463" s="180"/>
      <c r="F463" s="180"/>
      <c r="G463" s="180"/>
      <c r="H463" s="180"/>
      <c r="I463" s="184"/>
    </row>
    <row r="464" spans="3:9" ht="15">
      <c r="C464" s="180"/>
      <c r="D464" s="180"/>
      <c r="E464" s="180"/>
      <c r="F464" s="180"/>
      <c r="G464" s="180"/>
      <c r="H464" s="180"/>
      <c r="I464" s="183"/>
    </row>
    <row r="465" spans="3:9" ht="15">
      <c r="C465" s="180"/>
      <c r="D465" s="180"/>
      <c r="E465" s="180"/>
      <c r="F465" s="180"/>
      <c r="G465" s="180"/>
      <c r="H465" s="180"/>
      <c r="I465" s="184"/>
    </row>
    <row r="466" spans="3:8" ht="15">
      <c r="C466" s="180"/>
      <c r="D466" s="180"/>
      <c r="E466" s="180"/>
      <c r="F466" s="180"/>
      <c r="G466" s="180"/>
      <c r="H466" s="180"/>
    </row>
    <row r="467" spans="3:8" ht="15">
      <c r="C467" s="180"/>
      <c r="D467" s="180"/>
      <c r="E467" s="180"/>
      <c r="F467" s="180"/>
      <c r="G467" s="180"/>
      <c r="H467" s="180"/>
    </row>
    <row r="468" spans="3:8" ht="15">
      <c r="C468" s="180"/>
      <c r="D468" s="180"/>
      <c r="E468" s="180"/>
      <c r="F468" s="180"/>
      <c r="G468" s="180"/>
      <c r="H468" s="180"/>
    </row>
    <row r="469" spans="3:8" ht="15">
      <c r="C469" s="180"/>
      <c r="D469" s="180"/>
      <c r="E469" s="180"/>
      <c r="F469" s="180"/>
      <c r="G469" s="180"/>
      <c r="H469" s="180"/>
    </row>
    <row r="470" spans="3:8" ht="15">
      <c r="C470" s="180"/>
      <c r="D470" s="180"/>
      <c r="E470" s="180"/>
      <c r="F470" s="180"/>
      <c r="G470" s="180"/>
      <c r="H470" s="180"/>
    </row>
    <row r="471" spans="3:8" ht="15">
      <c r="C471" s="180"/>
      <c r="D471" s="180"/>
      <c r="E471" s="180"/>
      <c r="F471" s="180"/>
      <c r="G471" s="180"/>
      <c r="H471" s="180"/>
    </row>
    <row r="472" spans="3:8" ht="15">
      <c r="C472" s="180"/>
      <c r="D472" s="180"/>
      <c r="E472" s="180"/>
      <c r="F472" s="180"/>
      <c r="G472" s="180"/>
      <c r="H472" s="180"/>
    </row>
    <row r="473" spans="3:8" ht="15">
      <c r="C473" s="180"/>
      <c r="D473" s="180"/>
      <c r="E473" s="180"/>
      <c r="F473" s="180"/>
      <c r="G473" s="180"/>
      <c r="H473" s="180"/>
    </row>
    <row r="474" spans="3:9" ht="15">
      <c r="C474" s="180"/>
      <c r="D474" s="180"/>
      <c r="E474" s="180"/>
      <c r="F474" s="180"/>
      <c r="G474" s="180"/>
      <c r="H474" s="180"/>
      <c r="I474" s="183"/>
    </row>
    <row r="475" spans="3:9" ht="15">
      <c r="C475" s="180"/>
      <c r="D475" s="180"/>
      <c r="E475" s="180"/>
      <c r="F475" s="180"/>
      <c r="G475" s="180"/>
      <c r="H475" s="180"/>
      <c r="I475" s="184"/>
    </row>
    <row r="476" spans="3:9" ht="15">
      <c r="C476" s="180"/>
      <c r="D476" s="180"/>
      <c r="E476" s="180"/>
      <c r="F476" s="180"/>
      <c r="G476" s="180"/>
      <c r="H476" s="180"/>
      <c r="I476" s="183"/>
    </row>
    <row r="477" spans="3:9" ht="15">
      <c r="C477" s="180"/>
      <c r="D477" s="180"/>
      <c r="E477" s="180"/>
      <c r="F477" s="180"/>
      <c r="G477" s="180"/>
      <c r="H477" s="180"/>
      <c r="I477" s="184"/>
    </row>
    <row r="478" spans="3:8" ht="15">
      <c r="C478" s="180"/>
      <c r="D478" s="180"/>
      <c r="E478" s="180"/>
      <c r="F478" s="180"/>
      <c r="G478" s="180"/>
      <c r="H478" s="180"/>
    </row>
    <row r="479" spans="3:8" ht="15">
      <c r="C479" s="180"/>
      <c r="D479" s="180"/>
      <c r="E479" s="180"/>
      <c r="F479" s="180"/>
      <c r="G479" s="180"/>
      <c r="H479" s="180"/>
    </row>
    <row r="480" spans="3:8" ht="15">
      <c r="C480" s="180"/>
      <c r="D480" s="180"/>
      <c r="E480" s="180"/>
      <c r="F480" s="180"/>
      <c r="G480" s="180"/>
      <c r="H480" s="180"/>
    </row>
    <row r="481" spans="3:8" ht="15">
      <c r="C481" s="180"/>
      <c r="D481" s="180"/>
      <c r="E481" s="180"/>
      <c r="F481" s="180"/>
      <c r="G481" s="180"/>
      <c r="H481" s="180"/>
    </row>
    <row r="482" spans="3:8" ht="15">
      <c r="C482" s="180"/>
      <c r="D482" s="180"/>
      <c r="E482" s="180"/>
      <c r="F482" s="180"/>
      <c r="G482" s="180"/>
      <c r="H482" s="180"/>
    </row>
    <row r="483" spans="3:8" ht="15">
      <c r="C483" s="180"/>
      <c r="D483" s="180"/>
      <c r="E483" s="180"/>
      <c r="F483" s="180"/>
      <c r="G483" s="180"/>
      <c r="H483" s="180"/>
    </row>
    <row r="484" spans="3:8" ht="15">
      <c r="C484" s="180"/>
      <c r="D484" s="180"/>
      <c r="E484" s="180"/>
      <c r="F484" s="180"/>
      <c r="G484" s="180"/>
      <c r="H484" s="180"/>
    </row>
    <row r="485" spans="3:8" ht="15">
      <c r="C485" s="180"/>
      <c r="D485" s="180"/>
      <c r="E485" s="180"/>
      <c r="F485" s="180"/>
      <c r="G485" s="180"/>
      <c r="H485" s="180"/>
    </row>
    <row r="486" spans="3:9" ht="15">
      <c r="C486" s="180"/>
      <c r="D486" s="180"/>
      <c r="E486" s="180"/>
      <c r="F486" s="180"/>
      <c r="G486" s="180"/>
      <c r="H486" s="180"/>
      <c r="I486" s="183"/>
    </row>
    <row r="487" spans="3:9" ht="15">
      <c r="C487" s="180"/>
      <c r="D487" s="180"/>
      <c r="E487" s="180"/>
      <c r="F487" s="180"/>
      <c r="G487" s="180"/>
      <c r="H487" s="180"/>
      <c r="I487" s="184"/>
    </row>
    <row r="488" spans="3:9" ht="15">
      <c r="C488" s="180"/>
      <c r="D488" s="180"/>
      <c r="E488" s="180"/>
      <c r="F488" s="180"/>
      <c r="G488" s="180"/>
      <c r="H488" s="180"/>
      <c r="I488" s="183"/>
    </row>
    <row r="489" spans="3:9" ht="15">
      <c r="C489" s="180"/>
      <c r="D489" s="180"/>
      <c r="E489" s="180"/>
      <c r="F489" s="180"/>
      <c r="G489" s="180"/>
      <c r="H489" s="180"/>
      <c r="I489" s="184"/>
    </row>
    <row r="490" spans="3:8" ht="15">
      <c r="C490" s="180"/>
      <c r="D490" s="180"/>
      <c r="E490" s="180"/>
      <c r="F490" s="180"/>
      <c r="G490" s="180"/>
      <c r="H490" s="180"/>
    </row>
    <row r="491" spans="3:8" ht="15">
      <c r="C491" s="180"/>
      <c r="D491" s="180"/>
      <c r="E491" s="180"/>
      <c r="F491" s="180"/>
      <c r="G491" s="180"/>
      <c r="H491" s="180"/>
    </row>
    <row r="492" spans="3:8" ht="15">
      <c r="C492" s="180"/>
      <c r="D492" s="180"/>
      <c r="E492" s="180"/>
      <c r="F492" s="180"/>
      <c r="G492" s="180"/>
      <c r="H492" s="180"/>
    </row>
    <row r="493" spans="3:8" ht="15">
      <c r="C493" s="180"/>
      <c r="D493" s="180"/>
      <c r="E493" s="180"/>
      <c r="F493" s="180"/>
      <c r="G493" s="180"/>
      <c r="H493" s="180"/>
    </row>
    <row r="494" spans="3:8" ht="15">
      <c r="C494" s="180"/>
      <c r="D494" s="180"/>
      <c r="E494" s="180"/>
      <c r="F494" s="180"/>
      <c r="G494" s="180"/>
      <c r="H494" s="180"/>
    </row>
    <row r="495" spans="3:8" ht="15">
      <c r="C495" s="180"/>
      <c r="D495" s="180"/>
      <c r="E495" s="180"/>
      <c r="F495" s="180"/>
      <c r="G495" s="180"/>
      <c r="H495" s="180"/>
    </row>
    <row r="496" spans="3:8" ht="15">
      <c r="C496" s="180"/>
      <c r="D496" s="180"/>
      <c r="E496" s="180"/>
      <c r="F496" s="180"/>
      <c r="G496" s="180"/>
      <c r="H496" s="180"/>
    </row>
    <row r="497" spans="3:8" ht="15">
      <c r="C497" s="180"/>
      <c r="D497" s="180"/>
      <c r="E497" s="180"/>
      <c r="F497" s="180"/>
      <c r="G497" s="180"/>
      <c r="H497" s="180"/>
    </row>
    <row r="498" spans="3:8" ht="15">
      <c r="C498" s="180"/>
      <c r="D498" s="180"/>
      <c r="E498" s="180"/>
      <c r="F498" s="180"/>
      <c r="G498" s="180"/>
      <c r="H498" s="180"/>
    </row>
    <row r="499" spans="3:8" ht="15">
      <c r="C499" s="180"/>
      <c r="D499" s="180"/>
      <c r="E499" s="180"/>
      <c r="F499" s="180"/>
      <c r="G499" s="180"/>
      <c r="H499" s="180"/>
    </row>
    <row r="500" spans="3:8" ht="15">
      <c r="C500" s="180"/>
      <c r="D500" s="180"/>
      <c r="E500" s="180"/>
      <c r="F500" s="180"/>
      <c r="G500" s="180"/>
      <c r="H500" s="180"/>
    </row>
    <row r="501" spans="3:8" ht="15">
      <c r="C501" s="180"/>
      <c r="D501" s="180"/>
      <c r="E501" s="180"/>
      <c r="F501" s="180"/>
      <c r="G501" s="180"/>
      <c r="H501" s="180"/>
    </row>
    <row r="502" spans="3:8" ht="15">
      <c r="C502" s="180"/>
      <c r="D502" s="180"/>
      <c r="E502" s="180"/>
      <c r="F502" s="180"/>
      <c r="G502" s="180"/>
      <c r="H502" s="180"/>
    </row>
    <row r="503" spans="3:8" ht="15">
      <c r="C503" s="180"/>
      <c r="D503" s="180"/>
      <c r="E503" s="180"/>
      <c r="F503" s="180"/>
      <c r="G503" s="180"/>
      <c r="H503" s="180"/>
    </row>
    <row r="504" spans="3:8" ht="15">
      <c r="C504" s="180"/>
      <c r="D504" s="180"/>
      <c r="E504" s="180"/>
      <c r="F504" s="180"/>
      <c r="G504" s="180"/>
      <c r="H504" s="180"/>
    </row>
    <row r="505" spans="3:8" ht="15">
      <c r="C505" s="180"/>
      <c r="D505" s="180"/>
      <c r="E505" s="180"/>
      <c r="F505" s="180"/>
      <c r="G505" s="180"/>
      <c r="H505" s="180"/>
    </row>
    <row r="506" spans="3:8" ht="15">
      <c r="C506" s="180"/>
      <c r="D506" s="180"/>
      <c r="E506" s="180"/>
      <c r="F506" s="180"/>
      <c r="G506" s="180"/>
      <c r="H506" s="180"/>
    </row>
    <row r="507" spans="3:8" ht="15">
      <c r="C507" s="180"/>
      <c r="D507" s="180"/>
      <c r="E507" s="180"/>
      <c r="F507" s="180"/>
      <c r="G507" s="180"/>
      <c r="H507" s="180"/>
    </row>
    <row r="508" spans="3:8" ht="15">
      <c r="C508" s="180"/>
      <c r="D508" s="180"/>
      <c r="E508" s="180"/>
      <c r="F508" s="180"/>
      <c r="G508" s="180"/>
      <c r="H508" s="180"/>
    </row>
    <row r="509" spans="3:8" ht="15">
      <c r="C509" s="180"/>
      <c r="D509" s="180"/>
      <c r="E509" s="180"/>
      <c r="F509" s="180"/>
      <c r="G509" s="180"/>
      <c r="H509" s="180"/>
    </row>
    <row r="510" spans="3:8" ht="15">
      <c r="C510" s="180"/>
      <c r="D510" s="180"/>
      <c r="E510" s="180"/>
      <c r="F510" s="180"/>
      <c r="G510" s="180"/>
      <c r="H510" s="180"/>
    </row>
  </sheetData>
  <sheetProtection sheet="1" objects="1" scenarios="1"/>
  <printOptions horizontalCentered="1"/>
  <pageMargins left="0.5" right="0.5" top="1.15" bottom="1.25" header="0.5" footer="0.5"/>
  <pageSetup blackAndWhite="1" fitToHeight="100" horizontalDpi="180" verticalDpi="180" orientation="portrait" scale="80" r:id="rId1"/>
  <headerFooter alignWithMargins="0">
    <oddHeader>&amp;LFile Name:  &amp;F&amp;RSheet Name:  &amp;A</oddHeader>
    <oddFooter>&amp;L&amp;D&amp;    &amp;T&amp;RPage  &amp;P  of  &amp;N</oddFooter>
  </headerFooter>
  <rowBreaks count="7" manualBreakCount="7">
    <brk id="47" max="65535" man="1"/>
    <brk id="95" max="65535" man="1"/>
    <brk id="143" max="65535" man="1"/>
    <brk id="191" max="65535" man="1"/>
    <brk id="239" max="65535" man="1"/>
    <brk id="287" max="65535" man="1"/>
    <brk id="33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20"/>
  <sheetViews>
    <sheetView showGridLines="0" showRowColHeaders="0" zoomScalePageLayoutView="0" workbookViewId="0" topLeftCell="A1">
      <selection activeCell="D4" sqref="D4"/>
    </sheetView>
  </sheetViews>
  <sheetFormatPr defaultColWidth="7.10546875" defaultRowHeight="15"/>
  <cols>
    <col min="1" max="1" width="4.77734375" style="81" customWidth="1"/>
    <col min="2" max="2" width="2.77734375" style="81" customWidth="1"/>
    <col min="3" max="3" width="13.10546875" style="81" customWidth="1"/>
    <col min="4" max="4" width="5.21484375" style="81" customWidth="1"/>
    <col min="5" max="8" width="7.10546875" style="81" customWidth="1"/>
    <col min="9" max="9" width="4.4453125" style="81" customWidth="1"/>
    <col min="10" max="10" width="7.10546875" style="81" customWidth="1"/>
    <col min="11" max="11" width="0" style="81" hidden="1" customWidth="1"/>
    <col min="12" max="16384" width="7.10546875" style="81" customWidth="1"/>
  </cols>
  <sheetData>
    <row r="1" spans="2:10" ht="24" thickTop="1">
      <c r="B1" s="312" t="s">
        <v>45</v>
      </c>
      <c r="C1" s="313"/>
      <c r="D1" s="313"/>
      <c r="E1" s="313"/>
      <c r="F1" s="313"/>
      <c r="G1" s="313"/>
      <c r="H1" s="313"/>
      <c r="I1" s="313"/>
      <c r="J1" s="314"/>
    </row>
    <row r="2" spans="2:10" ht="12.75">
      <c r="B2" s="321" t="s">
        <v>46</v>
      </c>
      <c r="C2" s="322"/>
      <c r="D2" s="322"/>
      <c r="E2" s="322"/>
      <c r="F2" s="322"/>
      <c r="G2" s="322"/>
      <c r="H2" s="322"/>
      <c r="I2" s="322"/>
      <c r="J2" s="323"/>
    </row>
    <row r="3" spans="2:10" ht="12.75">
      <c r="B3" s="89"/>
      <c r="C3" s="86" t="s">
        <v>47</v>
      </c>
      <c r="D3" s="148">
        <v>138</v>
      </c>
      <c r="E3" s="85"/>
      <c r="F3" s="85"/>
      <c r="G3" s="85"/>
      <c r="H3" s="85"/>
      <c r="I3" s="85"/>
      <c r="J3" s="91"/>
    </row>
    <row r="4" spans="2:11" ht="12.75">
      <c r="B4" s="89"/>
      <c r="C4" s="86" t="s">
        <v>48</v>
      </c>
      <c r="D4" s="148">
        <v>5.2</v>
      </c>
      <c r="E4" s="85"/>
      <c r="F4" s="85"/>
      <c r="G4" s="85"/>
      <c r="H4" s="85"/>
      <c r="I4" s="85"/>
      <c r="J4" s="91"/>
      <c r="K4" s="83">
        <v>2</v>
      </c>
    </row>
    <row r="5" spans="2:11" ht="12.75">
      <c r="B5" s="89"/>
      <c r="C5" s="86" t="s">
        <v>49</v>
      </c>
      <c r="D5" s="148">
        <v>30</v>
      </c>
      <c r="E5" s="85"/>
      <c r="F5" s="145" t="s">
        <v>50</v>
      </c>
      <c r="G5" s="85"/>
      <c r="H5" s="88" t="s">
        <v>51</v>
      </c>
      <c r="I5" s="85"/>
      <c r="J5" s="91"/>
      <c r="K5" s="81">
        <f>IF(K4=1,1.2,IF(K4=2,1.4,1.8))</f>
        <v>1.4</v>
      </c>
    </row>
    <row r="6" spans="2:10" ht="12.75">
      <c r="B6" s="89"/>
      <c r="C6" s="85"/>
      <c r="D6" s="85"/>
      <c r="E6" s="85"/>
      <c r="F6" s="88">
        <f>IF(D5="","",(((D3*4.3)+(D4*4.3)+655)-D5*4.7)*K5)</f>
        <v>1581.664</v>
      </c>
      <c r="G6" s="85"/>
      <c r="H6" s="88">
        <f>IF(D5="","",(((D3*6.2)+(D4*12.7)+65)-D5*6.8)*K5)</f>
        <v>1095.696</v>
      </c>
      <c r="I6" s="85"/>
      <c r="J6" s="91"/>
    </row>
    <row r="7" spans="1:10" ht="12.75">
      <c r="A7" s="84"/>
      <c r="B7" s="90"/>
      <c r="C7" s="87"/>
      <c r="D7" s="87"/>
      <c r="E7" s="87"/>
      <c r="F7" s="85"/>
      <c r="G7" s="85"/>
      <c r="H7" s="85"/>
      <c r="I7" s="85"/>
      <c r="J7" s="91"/>
    </row>
    <row r="8" spans="1:10" ht="12.75">
      <c r="A8" s="84"/>
      <c r="B8" s="90"/>
      <c r="C8" s="87"/>
      <c r="D8" s="87"/>
      <c r="E8" s="87"/>
      <c r="F8" s="85"/>
      <c r="G8" s="85"/>
      <c r="H8" s="85"/>
      <c r="I8" s="85"/>
      <c r="J8" s="91"/>
    </row>
    <row r="9" spans="1:10" ht="12.75">
      <c r="A9" s="84"/>
      <c r="B9" s="90"/>
      <c r="C9" s="87"/>
      <c r="D9" s="87"/>
      <c r="E9" s="87"/>
      <c r="F9" s="144" t="str">
        <f>IF(D3="","","Approximate daily calorie intake to")</f>
        <v>Approximate daily calorie intake to</v>
      </c>
      <c r="G9" s="85"/>
      <c r="H9" s="85"/>
      <c r="I9" s="85"/>
      <c r="J9" s="91"/>
    </row>
    <row r="10" spans="1:10" ht="12.75">
      <c r="A10" s="84"/>
      <c r="B10" s="90"/>
      <c r="C10" s="87"/>
      <c r="D10" s="87"/>
      <c r="E10" s="87"/>
      <c r="F10" s="85" t="str">
        <f>IF(D3="","",CONCATENATE("maintain a weight of ",D3," pounds."))</f>
        <v>maintain a weight of 138 pounds.</v>
      </c>
      <c r="G10" s="85"/>
      <c r="H10" s="85"/>
      <c r="I10" s="85"/>
      <c r="J10" s="91"/>
    </row>
    <row r="11" spans="1:10" ht="12.75">
      <c r="A11" s="84"/>
      <c r="B11" s="90"/>
      <c r="C11" s="87"/>
      <c r="D11" s="87"/>
      <c r="E11" s="87"/>
      <c r="F11" s="85"/>
      <c r="G11" s="85"/>
      <c r="H11" s="86"/>
      <c r="I11" s="88"/>
      <c r="J11" s="91"/>
    </row>
    <row r="12" spans="1:10" ht="12.75">
      <c r="A12" s="84"/>
      <c r="B12" s="90"/>
      <c r="C12" s="87"/>
      <c r="D12" s="87"/>
      <c r="E12" s="87"/>
      <c r="F12" s="85"/>
      <c r="G12" s="85"/>
      <c r="H12" s="315" t="str">
        <f>IF(D4="","","Your body mass index is")</f>
        <v>Your body mass index is</v>
      </c>
      <c r="I12" s="88">
        <f>IF(D4="","",(D3*0.45)/((D4*0.0254)^2))</f>
        <v>3559.7334508278486</v>
      </c>
      <c r="J12" s="91"/>
    </row>
    <row r="13" spans="1:10" ht="12.75">
      <c r="A13" s="84"/>
      <c r="B13" s="90"/>
      <c r="C13" s="87"/>
      <c r="D13" s="87"/>
      <c r="E13" s="87"/>
      <c r="F13" s="85"/>
      <c r="G13" s="85"/>
      <c r="H13" s="315" t="str">
        <f>IF(D4="","","Your maximum weight should be")</f>
        <v>Your maximum weight should be</v>
      </c>
      <c r="I13" s="88">
        <f>IF(D4="","",(((D4*0.0254)^2)/0.45)*25)</f>
        <v>0.9691736888888889</v>
      </c>
      <c r="J13" s="316" t="str">
        <f>IF(D4="","","pounds")</f>
        <v>pounds</v>
      </c>
    </row>
    <row r="14" spans="1:10" ht="12.75">
      <c r="A14" s="84"/>
      <c r="B14" s="90"/>
      <c r="C14" s="87"/>
      <c r="D14" s="85"/>
      <c r="E14" s="87"/>
      <c r="F14" s="85"/>
      <c r="G14" s="85"/>
      <c r="H14" s="315" t="str">
        <f>IF(D4="","","Your minimum weight should be")</f>
        <v>Your minimum weight should be</v>
      </c>
      <c r="I14" s="88">
        <f>IF(D4="","",(((D4*0.0254)^2)/0.45)*20)</f>
        <v>0.7753389511111111</v>
      </c>
      <c r="J14" s="316" t="str">
        <f>IF(D4="","","pounds")</f>
        <v>pounds</v>
      </c>
    </row>
    <row r="15" spans="2:10" ht="15.75" customHeight="1" thickBot="1">
      <c r="B15" s="318"/>
      <c r="C15" s="319" t="str">
        <f>IF(D3="","","Your target body mass index should be 20 to 25.  Over 30 is considered obese.")</f>
        <v>Your target body mass index should be 20 to 25.  Over 30 is considered obese.</v>
      </c>
      <c r="D15" s="319"/>
      <c r="E15" s="319"/>
      <c r="F15" s="319"/>
      <c r="G15" s="319"/>
      <c r="H15" s="319"/>
      <c r="I15" s="319"/>
      <c r="J15" s="320"/>
    </row>
    <row r="16" ht="13.5" thickTop="1">
      <c r="C16" s="82"/>
    </row>
    <row r="17" spans="3:4" ht="12.75">
      <c r="C17" s="82"/>
      <c r="D17" s="317"/>
    </row>
    <row r="18" spans="3:4" ht="12.75">
      <c r="C18" s="82"/>
      <c r="D18" s="317"/>
    </row>
    <row r="19" spans="3:4" ht="12.75">
      <c r="C19" s="82"/>
      <c r="D19" s="317"/>
    </row>
    <row r="20" ht="12.75">
      <c r="D20" s="31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60"/>
  <sheetViews>
    <sheetView showGridLines="0" showRowColHeaders="0" zoomScalePageLayoutView="0" workbookViewId="0" topLeftCell="A1">
      <selection activeCell="C1" sqref="C1:F1"/>
    </sheetView>
  </sheetViews>
  <sheetFormatPr defaultColWidth="7.10546875" defaultRowHeight="15"/>
  <cols>
    <col min="1" max="1" width="2.5546875" style="460" customWidth="1"/>
    <col min="2" max="2" width="7.5546875" style="460" customWidth="1"/>
    <col min="3" max="3" width="7.21484375" style="460" customWidth="1"/>
    <col min="4" max="5" width="6.77734375" style="460" customWidth="1"/>
    <col min="6" max="6" width="5.21484375" style="460" customWidth="1"/>
    <col min="7" max="7" width="6.88671875" style="460" bestFit="1" customWidth="1"/>
    <col min="8" max="8" width="2.10546875" style="460" customWidth="1"/>
    <col min="9" max="9" width="7.5546875" style="460" customWidth="1"/>
    <col min="10" max="10" width="5.99609375" style="460" customWidth="1"/>
    <col min="11" max="12" width="6.77734375" style="460" customWidth="1"/>
    <col min="13" max="13" width="5.21484375" style="460" customWidth="1"/>
    <col min="14" max="14" width="6.77734375" style="460" customWidth="1"/>
    <col min="15" max="15" width="8.3359375" style="460" customWidth="1"/>
    <col min="16" max="16384" width="7.10546875" style="460" customWidth="1"/>
  </cols>
  <sheetData>
    <row r="1" spans="2:10" ht="12.75">
      <c r="B1" s="461" t="s">
        <v>898</v>
      </c>
      <c r="C1" s="522"/>
      <c r="D1" s="522"/>
      <c r="E1" s="522"/>
      <c r="F1" s="522"/>
      <c r="G1" s="463"/>
      <c r="H1" s="463"/>
      <c r="I1" s="464" t="s">
        <v>899</v>
      </c>
      <c r="J1" s="465" t="s">
        <v>900</v>
      </c>
    </row>
    <row r="2" spans="2:9" ht="13.5" thickBot="1">
      <c r="B2" s="466"/>
      <c r="C2" s="463"/>
      <c r="D2" s="463"/>
      <c r="E2" s="463"/>
      <c r="F2" s="463"/>
      <c r="G2" s="463"/>
      <c r="H2" s="463"/>
      <c r="I2" s="464" t="s">
        <v>901</v>
      </c>
    </row>
    <row r="3" spans="4:10" ht="13.5" thickBot="1">
      <c r="D3" s="467" t="s">
        <v>902</v>
      </c>
      <c r="E3" s="468"/>
      <c r="G3" s="469" t="s">
        <v>907</v>
      </c>
      <c r="I3" s="464" t="s">
        <v>903</v>
      </c>
      <c r="J3" s="465" t="s">
        <v>904</v>
      </c>
    </row>
    <row r="4" spans="2:7" ht="13.5" thickBot="1">
      <c r="B4" s="470" t="s">
        <v>905</v>
      </c>
      <c r="C4" s="470" t="s">
        <v>906</v>
      </c>
      <c r="D4" s="470" t="s">
        <v>899</v>
      </c>
      <c r="E4" s="470" t="s">
        <v>903</v>
      </c>
      <c r="F4" s="471" t="s">
        <v>907</v>
      </c>
      <c r="G4" s="472" t="s">
        <v>917</v>
      </c>
    </row>
    <row r="5" spans="1:7" ht="12.75">
      <c r="A5" s="460">
        <v>1</v>
      </c>
      <c r="B5" s="473"/>
      <c r="C5" s="474"/>
      <c r="D5" s="475"/>
      <c r="E5" s="475"/>
      <c r="F5" s="476"/>
      <c r="G5" s="477">
        <f aca="true" t="shared" si="0" ref="G5:G36">IF(AND(ISNUMBER(D5),ISNUMBER(E5))=FALSE,"",D5-E5)</f>
      </c>
    </row>
    <row r="6" spans="1:7" ht="12.75">
      <c r="A6" s="460">
        <v>2</v>
      </c>
      <c r="B6" s="478"/>
      <c r="C6" s="479"/>
      <c r="D6" s="480"/>
      <c r="E6" s="480"/>
      <c r="F6" s="481"/>
      <c r="G6" s="482">
        <f t="shared" si="0"/>
      </c>
    </row>
    <row r="7" spans="1:7" ht="12.75">
      <c r="A7" s="460">
        <v>3</v>
      </c>
      <c r="B7" s="478"/>
      <c r="C7" s="479"/>
      <c r="D7" s="480"/>
      <c r="E7" s="480"/>
      <c r="F7" s="481"/>
      <c r="G7" s="482">
        <f t="shared" si="0"/>
      </c>
    </row>
    <row r="8" spans="1:7" ht="12.75">
      <c r="A8" s="460">
        <v>4</v>
      </c>
      <c r="B8" s="478"/>
      <c r="C8" s="479"/>
      <c r="D8" s="480"/>
      <c r="E8" s="480"/>
      <c r="F8" s="481"/>
      <c r="G8" s="482">
        <f t="shared" si="0"/>
      </c>
    </row>
    <row r="9" spans="1:7" ht="12.75">
      <c r="A9" s="460">
        <v>5</v>
      </c>
      <c r="B9" s="478"/>
      <c r="C9" s="479"/>
      <c r="D9" s="480"/>
      <c r="E9" s="480"/>
      <c r="F9" s="481"/>
      <c r="G9" s="482">
        <f t="shared" si="0"/>
      </c>
    </row>
    <row r="10" spans="1:7" ht="12.75">
      <c r="A10" s="460">
        <v>6</v>
      </c>
      <c r="B10" s="478"/>
      <c r="C10" s="479"/>
      <c r="D10" s="480"/>
      <c r="E10" s="480"/>
      <c r="F10" s="481"/>
      <c r="G10" s="482">
        <f t="shared" si="0"/>
      </c>
    </row>
    <row r="11" spans="1:7" ht="12.75">
      <c r="A11" s="460">
        <v>7</v>
      </c>
      <c r="B11" s="478"/>
      <c r="C11" s="479"/>
      <c r="D11" s="480"/>
      <c r="E11" s="480"/>
      <c r="F11" s="481"/>
      <c r="G11" s="482">
        <f t="shared" si="0"/>
      </c>
    </row>
    <row r="12" spans="1:7" ht="12.75">
      <c r="A12" s="460">
        <v>8</v>
      </c>
      <c r="B12" s="478"/>
      <c r="C12" s="479"/>
      <c r="D12" s="480"/>
      <c r="E12" s="480"/>
      <c r="F12" s="481"/>
      <c r="G12" s="482">
        <f t="shared" si="0"/>
      </c>
    </row>
    <row r="13" spans="1:7" ht="12.75">
      <c r="A13" s="460">
        <v>9</v>
      </c>
      <c r="B13" s="478"/>
      <c r="C13" s="479"/>
      <c r="D13" s="480"/>
      <c r="E13" s="480"/>
      <c r="F13" s="481"/>
      <c r="G13" s="482">
        <f t="shared" si="0"/>
      </c>
    </row>
    <row r="14" spans="1:7" ht="12.75">
      <c r="A14" s="460">
        <v>10</v>
      </c>
      <c r="B14" s="483"/>
      <c r="C14" s="484"/>
      <c r="D14" s="485"/>
      <c r="E14" s="485"/>
      <c r="F14" s="486"/>
      <c r="G14" s="482">
        <f t="shared" si="0"/>
      </c>
    </row>
    <row r="15" spans="1:7" ht="12.75">
      <c r="A15" s="460">
        <v>11</v>
      </c>
      <c r="B15" s="483"/>
      <c r="C15" s="484"/>
      <c r="D15" s="485"/>
      <c r="E15" s="485"/>
      <c r="F15" s="486"/>
      <c r="G15" s="482">
        <f t="shared" si="0"/>
      </c>
    </row>
    <row r="16" spans="1:7" ht="12.75">
      <c r="A16" s="460">
        <v>12</v>
      </c>
      <c r="B16" s="483"/>
      <c r="C16" s="484"/>
      <c r="D16" s="485"/>
      <c r="E16" s="485"/>
      <c r="F16" s="486"/>
      <c r="G16" s="482">
        <f t="shared" si="0"/>
      </c>
    </row>
    <row r="17" spans="1:7" ht="12.75">
      <c r="A17" s="460">
        <v>13</v>
      </c>
      <c r="B17" s="483"/>
      <c r="C17" s="484"/>
      <c r="D17" s="485"/>
      <c r="E17" s="485"/>
      <c r="F17" s="486"/>
      <c r="G17" s="482">
        <f t="shared" si="0"/>
      </c>
    </row>
    <row r="18" spans="1:7" ht="12.75">
      <c r="A18" s="460">
        <v>14</v>
      </c>
      <c r="B18" s="483"/>
      <c r="C18" s="484"/>
      <c r="D18" s="485"/>
      <c r="E18" s="485"/>
      <c r="F18" s="486"/>
      <c r="G18" s="482">
        <f t="shared" si="0"/>
      </c>
    </row>
    <row r="19" spans="1:7" ht="12.75">
      <c r="A19" s="460">
        <v>15</v>
      </c>
      <c r="B19" s="483"/>
      <c r="C19" s="484"/>
      <c r="D19" s="485"/>
      <c r="E19" s="485"/>
      <c r="F19" s="486"/>
      <c r="G19" s="482">
        <f t="shared" si="0"/>
      </c>
    </row>
    <row r="20" spans="1:7" ht="12.75">
      <c r="A20" s="460">
        <v>16</v>
      </c>
      <c r="B20" s="483"/>
      <c r="C20" s="484"/>
      <c r="D20" s="485"/>
      <c r="E20" s="485"/>
      <c r="F20" s="486"/>
      <c r="G20" s="482">
        <f t="shared" si="0"/>
      </c>
    </row>
    <row r="21" spans="1:7" ht="12.75">
      <c r="A21" s="460">
        <v>17</v>
      </c>
      <c r="B21" s="483"/>
      <c r="C21" s="484"/>
      <c r="D21" s="485"/>
      <c r="E21" s="485"/>
      <c r="F21" s="486"/>
      <c r="G21" s="482">
        <f t="shared" si="0"/>
      </c>
    </row>
    <row r="22" spans="1:7" ht="12.75">
      <c r="A22" s="460">
        <v>18</v>
      </c>
      <c r="B22" s="483"/>
      <c r="C22" s="484"/>
      <c r="D22" s="485"/>
      <c r="E22" s="485"/>
      <c r="F22" s="486"/>
      <c r="G22" s="482">
        <f t="shared" si="0"/>
      </c>
    </row>
    <row r="23" spans="1:7" ht="12.75">
      <c r="A23" s="460">
        <v>19</v>
      </c>
      <c r="B23" s="483"/>
      <c r="C23" s="484"/>
      <c r="D23" s="485"/>
      <c r="E23" s="485"/>
      <c r="F23" s="486"/>
      <c r="G23" s="482">
        <f t="shared" si="0"/>
      </c>
    </row>
    <row r="24" spans="1:7" ht="12.75">
      <c r="A24" s="460">
        <v>20</v>
      </c>
      <c r="B24" s="483"/>
      <c r="C24" s="484"/>
      <c r="D24" s="485"/>
      <c r="E24" s="485"/>
      <c r="F24" s="486"/>
      <c r="G24" s="482">
        <f t="shared" si="0"/>
      </c>
    </row>
    <row r="25" spans="1:7" ht="12.75">
      <c r="A25" s="460">
        <v>21</v>
      </c>
      <c r="B25" s="483"/>
      <c r="C25" s="484"/>
      <c r="D25" s="485"/>
      <c r="E25" s="485"/>
      <c r="F25" s="486"/>
      <c r="G25" s="482">
        <f t="shared" si="0"/>
      </c>
    </row>
    <row r="26" spans="1:7" ht="12.75">
      <c r="A26" s="460">
        <v>22</v>
      </c>
      <c r="B26" s="483"/>
      <c r="C26" s="484"/>
      <c r="D26" s="485"/>
      <c r="E26" s="485"/>
      <c r="F26" s="486"/>
      <c r="G26" s="482">
        <f t="shared" si="0"/>
      </c>
    </row>
    <row r="27" spans="1:7" ht="12.75">
      <c r="A27" s="460">
        <v>23</v>
      </c>
      <c r="B27" s="483"/>
      <c r="C27" s="484"/>
      <c r="D27" s="485"/>
      <c r="E27" s="485"/>
      <c r="F27" s="486"/>
      <c r="G27" s="482">
        <f t="shared" si="0"/>
      </c>
    </row>
    <row r="28" spans="1:7" ht="12.75">
      <c r="A28" s="460">
        <v>24</v>
      </c>
      <c r="B28" s="483"/>
      <c r="C28" s="484"/>
      <c r="D28" s="485"/>
      <c r="E28" s="485"/>
      <c r="F28" s="486"/>
      <c r="G28" s="482">
        <f t="shared" si="0"/>
      </c>
    </row>
    <row r="29" spans="1:7" ht="12.75">
      <c r="A29" s="460">
        <v>25</v>
      </c>
      <c r="B29" s="483"/>
      <c r="C29" s="484"/>
      <c r="D29" s="485"/>
      <c r="E29" s="485"/>
      <c r="F29" s="486"/>
      <c r="G29" s="482">
        <f t="shared" si="0"/>
      </c>
    </row>
    <row r="30" spans="1:7" ht="12.75">
      <c r="A30" s="460">
        <v>26</v>
      </c>
      <c r="B30" s="483"/>
      <c r="C30" s="484"/>
      <c r="D30" s="485"/>
      <c r="E30" s="485"/>
      <c r="F30" s="486"/>
      <c r="G30" s="482">
        <f t="shared" si="0"/>
      </c>
    </row>
    <row r="31" spans="1:7" ht="12.75">
      <c r="A31" s="460">
        <v>27</v>
      </c>
      <c r="B31" s="483"/>
      <c r="C31" s="484"/>
      <c r="D31" s="485"/>
      <c r="E31" s="485"/>
      <c r="F31" s="486"/>
      <c r="G31" s="482">
        <f t="shared" si="0"/>
      </c>
    </row>
    <row r="32" spans="1:7" ht="12.75">
      <c r="A32" s="460">
        <v>28</v>
      </c>
      <c r="B32" s="483"/>
      <c r="C32" s="484"/>
      <c r="D32" s="485"/>
      <c r="E32" s="485"/>
      <c r="F32" s="486"/>
      <c r="G32" s="482">
        <f t="shared" si="0"/>
      </c>
    </row>
    <row r="33" spans="1:7" ht="12.75">
      <c r="A33" s="460">
        <v>29</v>
      </c>
      <c r="B33" s="483"/>
      <c r="C33" s="484"/>
      <c r="D33" s="485"/>
      <c r="E33" s="485"/>
      <c r="F33" s="486"/>
      <c r="G33" s="482">
        <f t="shared" si="0"/>
      </c>
    </row>
    <row r="34" spans="1:7" ht="12.75">
      <c r="A34" s="460">
        <v>30</v>
      </c>
      <c r="B34" s="483"/>
      <c r="C34" s="484"/>
      <c r="D34" s="485"/>
      <c r="E34" s="485"/>
      <c r="F34" s="486"/>
      <c r="G34" s="482">
        <f t="shared" si="0"/>
      </c>
    </row>
    <row r="35" spans="1:7" ht="12.75">
      <c r="A35" s="460">
        <v>31</v>
      </c>
      <c r="B35" s="483"/>
      <c r="C35" s="484"/>
      <c r="D35" s="485"/>
      <c r="E35" s="485"/>
      <c r="F35" s="486"/>
      <c r="G35" s="482">
        <f t="shared" si="0"/>
      </c>
    </row>
    <row r="36" spans="1:7" ht="12.75">
      <c r="A36" s="460">
        <v>32</v>
      </c>
      <c r="B36" s="483"/>
      <c r="C36" s="484"/>
      <c r="D36" s="485"/>
      <c r="E36" s="485"/>
      <c r="F36" s="486"/>
      <c r="G36" s="482">
        <f t="shared" si="0"/>
      </c>
    </row>
    <row r="37" spans="1:7" ht="12.75">
      <c r="A37" s="460">
        <v>33</v>
      </c>
      <c r="B37" s="483"/>
      <c r="C37" s="484"/>
      <c r="D37" s="485"/>
      <c r="E37" s="485"/>
      <c r="F37" s="486"/>
      <c r="G37" s="482">
        <f aca="true" t="shared" si="1" ref="G37:G54">IF(AND(ISNUMBER(D37),ISNUMBER(E37))=FALSE,"",D37-E37)</f>
      </c>
    </row>
    <row r="38" spans="1:7" ht="12.75">
      <c r="A38" s="460">
        <v>34</v>
      </c>
      <c r="B38" s="483"/>
      <c r="C38" s="484"/>
      <c r="D38" s="485"/>
      <c r="E38" s="485"/>
      <c r="F38" s="486"/>
      <c r="G38" s="482">
        <f t="shared" si="1"/>
      </c>
    </row>
    <row r="39" spans="1:7" ht="12.75">
      <c r="A39" s="460">
        <v>35</v>
      </c>
      <c r="B39" s="483"/>
      <c r="C39" s="484"/>
      <c r="D39" s="485"/>
      <c r="E39" s="485"/>
      <c r="F39" s="486"/>
      <c r="G39" s="482">
        <f t="shared" si="1"/>
      </c>
    </row>
    <row r="40" spans="1:7" ht="12.75">
      <c r="A40" s="460">
        <v>36</v>
      </c>
      <c r="B40" s="483"/>
      <c r="C40" s="484"/>
      <c r="D40" s="485"/>
      <c r="E40" s="485"/>
      <c r="F40" s="486"/>
      <c r="G40" s="482">
        <f t="shared" si="1"/>
      </c>
    </row>
    <row r="41" spans="1:7" ht="12.75">
      <c r="A41" s="460">
        <v>37</v>
      </c>
      <c r="B41" s="483"/>
      <c r="C41" s="484"/>
      <c r="D41" s="485"/>
      <c r="E41" s="485"/>
      <c r="F41" s="486"/>
      <c r="G41" s="482">
        <f t="shared" si="1"/>
      </c>
    </row>
    <row r="42" spans="1:7" ht="12.75">
      <c r="A42" s="460">
        <v>38</v>
      </c>
      <c r="B42" s="483"/>
      <c r="C42" s="484"/>
      <c r="D42" s="485"/>
      <c r="E42" s="485"/>
      <c r="F42" s="486"/>
      <c r="G42" s="482">
        <f t="shared" si="1"/>
      </c>
    </row>
    <row r="43" spans="1:7" ht="12.75">
      <c r="A43" s="460">
        <v>39</v>
      </c>
      <c r="B43" s="483"/>
      <c r="C43" s="484"/>
      <c r="D43" s="485"/>
      <c r="E43" s="485"/>
      <c r="F43" s="486"/>
      <c r="G43" s="482">
        <f t="shared" si="1"/>
      </c>
    </row>
    <row r="44" spans="1:7" ht="12.75">
      <c r="A44" s="460">
        <v>40</v>
      </c>
      <c r="B44" s="483"/>
      <c r="C44" s="484"/>
      <c r="D44" s="485"/>
      <c r="E44" s="485"/>
      <c r="F44" s="486"/>
      <c r="G44" s="482">
        <f t="shared" si="1"/>
      </c>
    </row>
    <row r="45" spans="1:7" ht="12.75">
      <c r="A45" s="460">
        <v>41</v>
      </c>
      <c r="B45" s="483"/>
      <c r="C45" s="484"/>
      <c r="D45" s="485"/>
      <c r="E45" s="485"/>
      <c r="F45" s="486"/>
      <c r="G45" s="482">
        <f t="shared" si="1"/>
      </c>
    </row>
    <row r="46" spans="1:7" ht="12.75">
      <c r="A46" s="460">
        <v>42</v>
      </c>
      <c r="B46" s="483"/>
      <c r="C46" s="484"/>
      <c r="D46" s="485"/>
      <c r="E46" s="485"/>
      <c r="F46" s="486"/>
      <c r="G46" s="482">
        <f t="shared" si="1"/>
      </c>
    </row>
    <row r="47" spans="1:7" ht="12.75">
      <c r="A47" s="460">
        <v>43</v>
      </c>
      <c r="B47" s="483"/>
      <c r="C47" s="484"/>
      <c r="D47" s="485"/>
      <c r="E47" s="485"/>
      <c r="F47" s="486"/>
      <c r="G47" s="482">
        <f t="shared" si="1"/>
      </c>
    </row>
    <row r="48" spans="1:7" ht="12.75">
      <c r="A48" s="460">
        <v>44</v>
      </c>
      <c r="B48" s="483"/>
      <c r="C48" s="484"/>
      <c r="D48" s="485"/>
      <c r="E48" s="485"/>
      <c r="F48" s="486"/>
      <c r="G48" s="482">
        <f t="shared" si="1"/>
      </c>
    </row>
    <row r="49" spans="1:7" ht="12.75">
      <c r="A49" s="460">
        <v>45</v>
      </c>
      <c r="B49" s="483"/>
      <c r="C49" s="484"/>
      <c r="D49" s="485"/>
      <c r="E49" s="485"/>
      <c r="F49" s="486"/>
      <c r="G49" s="482">
        <f t="shared" si="1"/>
      </c>
    </row>
    <row r="50" spans="1:7" ht="12.75">
      <c r="A50" s="460">
        <v>46</v>
      </c>
      <c r="B50" s="483"/>
      <c r="C50" s="484"/>
      <c r="D50" s="485"/>
      <c r="E50" s="485"/>
      <c r="F50" s="486"/>
      <c r="G50" s="482">
        <f t="shared" si="1"/>
      </c>
    </row>
    <row r="51" spans="1:7" ht="12.75">
      <c r="A51" s="460">
        <v>47</v>
      </c>
      <c r="B51" s="483"/>
      <c r="C51" s="484"/>
      <c r="D51" s="485"/>
      <c r="E51" s="485"/>
      <c r="F51" s="486"/>
      <c r="G51" s="482">
        <f t="shared" si="1"/>
      </c>
    </row>
    <row r="52" spans="1:7" ht="12.75">
      <c r="A52" s="460">
        <v>48</v>
      </c>
      <c r="B52" s="483"/>
      <c r="C52" s="484"/>
      <c r="D52" s="485"/>
      <c r="E52" s="485"/>
      <c r="F52" s="486"/>
      <c r="G52" s="482">
        <f t="shared" si="1"/>
      </c>
    </row>
    <row r="53" spans="1:7" ht="12.75">
      <c r="A53" s="460">
        <v>49</v>
      </c>
      <c r="B53" s="483"/>
      <c r="C53" s="484"/>
      <c r="D53" s="485"/>
      <c r="E53" s="485"/>
      <c r="F53" s="486"/>
      <c r="G53" s="482">
        <f t="shared" si="1"/>
      </c>
    </row>
    <row r="54" spans="1:7" ht="13.5" thickBot="1">
      <c r="A54" s="460">
        <v>50</v>
      </c>
      <c r="B54" s="487"/>
      <c r="C54" s="488"/>
      <c r="D54" s="489"/>
      <c r="E54" s="489"/>
      <c r="F54" s="490"/>
      <c r="G54" s="491">
        <f t="shared" si="1"/>
      </c>
    </row>
    <row r="55" spans="3:12" ht="13.5" thickBot="1">
      <c r="C55" s="461" t="s">
        <v>908</v>
      </c>
      <c r="D55" s="492">
        <f>IF(SUM(D5:D54)=0,"",MIN(D5:D54))</f>
      </c>
      <c r="E55" s="493">
        <f>IF(SUM(E5:E54)=0,"",MIN(E5:E54))</f>
      </c>
      <c r="F55" s="494">
        <f>IF(SUM(F5:F54)=0,"",MIN(F5:F54))</f>
      </c>
      <c r="G55" s="495"/>
      <c r="J55" s="496" t="s">
        <v>899</v>
      </c>
      <c r="L55" s="496" t="s">
        <v>903</v>
      </c>
    </row>
    <row r="56" spans="3:15" ht="12.75">
      <c r="C56" s="461" t="s">
        <v>909</v>
      </c>
      <c r="D56" s="497">
        <f>IF(SUM(D5:D54)=0,"",MAX(D5:D54))</f>
      </c>
      <c r="E56" s="498">
        <f>IF(SUM(E5:E54)=0,"",MAX(E5:E54))</f>
      </c>
      <c r="F56" s="499">
        <f>IF(SUM(F5:F54)=0,"",MAX(F5:F54))</f>
      </c>
      <c r="G56" s="495"/>
      <c r="I56" s="461" t="s">
        <v>910</v>
      </c>
      <c r="J56" s="500" t="s">
        <v>911</v>
      </c>
      <c r="K56" s="501"/>
      <c r="L56" s="502" t="s">
        <v>912</v>
      </c>
      <c r="M56" s="503"/>
      <c r="O56" s="469" t="s">
        <v>924</v>
      </c>
    </row>
    <row r="57" spans="3:15" ht="12.75">
      <c r="C57" s="461" t="s">
        <v>913</v>
      </c>
      <c r="D57" s="497">
        <f>IF(SUM(D5:D54)=0,"",D56-D55)</f>
      </c>
      <c r="E57" s="498">
        <f>IF(SUM(E5:E54)=0,"",E56-E55)</f>
      </c>
      <c r="F57" s="499">
        <f>IF(SUM(F5:F54)=0,"",F56-F55)</f>
      </c>
      <c r="G57" s="495"/>
      <c r="I57" s="461" t="s">
        <v>914</v>
      </c>
      <c r="J57" s="504" t="s">
        <v>915</v>
      </c>
      <c r="K57" s="505"/>
      <c r="L57" s="506" t="s">
        <v>916</v>
      </c>
      <c r="M57" s="507"/>
      <c r="O57" s="508" t="s">
        <v>917</v>
      </c>
    </row>
    <row r="58" spans="3:15" ht="13.5" thickBot="1">
      <c r="C58" s="461" t="s">
        <v>918</v>
      </c>
      <c r="D58" s="509">
        <f>IF(SUM(D5:D54)=0,"",AVERAGE(D5:D54))</f>
      </c>
      <c r="E58" s="510">
        <f>IF(SUM(E5:E54)=0,"",AVERAGE(E5:E54))</f>
      </c>
      <c r="F58" s="511">
        <f>IF(SUM(F5:F54)=0,"",AVERAGE(F5:F54))</f>
      </c>
      <c r="G58" s="512"/>
      <c r="I58" s="461" t="s">
        <v>919</v>
      </c>
      <c r="J58" s="513" t="s">
        <v>920</v>
      </c>
      <c r="K58" s="462"/>
      <c r="L58" s="514" t="s">
        <v>921</v>
      </c>
      <c r="M58" s="515"/>
      <c r="O58" s="516">
        <f>IF(SUM(D5:E54)=0,"",D58-E58)</f>
      </c>
    </row>
    <row r="59" spans="3:9" ht="13.5" thickBot="1">
      <c r="C59" s="461" t="s">
        <v>922</v>
      </c>
      <c r="D59" s="517">
        <f>IF(COUNTA(D5:D54)&gt;1,STDEV(D5:D54),"")</f>
      </c>
      <c r="E59" s="518">
        <f>IF(COUNTA(E5:E54)&gt;1,STDEV(E5:E54),"")</f>
      </c>
      <c r="F59" s="519">
        <f>IF(COUNTA(F5:F54)&gt;1,STDEV(F5:F54),"")</f>
      </c>
      <c r="G59" s="520"/>
      <c r="I59" s="521" t="s">
        <v>923</v>
      </c>
    </row>
    <row r="60" ht="12.75">
      <c r="J60" s="461"/>
    </row>
  </sheetData>
  <sheetProtection sheet="1" objects="1" scenarios="1"/>
  <mergeCells count="1">
    <mergeCell ref="C1:F1"/>
  </mergeCells>
  <printOptions horizontalCentered="1" verticalCentered="1"/>
  <pageMargins left="0.5" right="0.5" top="0.75" bottom="0.75" header="0.5" footer="0.5"/>
  <pageSetup fitToHeight="1" fitToWidth="1" horizontalDpi="300" verticalDpi="300" orientation="portrait" scale="80" r:id="rId2"/>
  <headerFooter alignWithMargins="0">
    <oddFooter>&amp;LFile Name: &amp;F&amp;CSheet Name: &amp;A&amp;R&amp;D   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39"/>
  </sheetPr>
  <dimension ref="B1:I20"/>
  <sheetViews>
    <sheetView showGridLines="0" showRowColHeaders="0" tabSelected="1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1.77734375" style="0" customWidth="1"/>
    <col min="2" max="4" width="10.77734375" style="0" customWidth="1"/>
    <col min="5" max="5" width="9.77734375" style="0" customWidth="1"/>
    <col min="6" max="6" width="10.77734375" style="0" customWidth="1"/>
    <col min="7" max="7" width="10.3359375" style="0" customWidth="1"/>
    <col min="8" max="9" width="10.77734375" style="0" customWidth="1"/>
    <col min="10" max="13" width="9.77734375" style="0" customWidth="1"/>
  </cols>
  <sheetData>
    <row r="1" spans="2:9" ht="24" thickTop="1">
      <c r="B1" s="7" t="s">
        <v>52</v>
      </c>
      <c r="C1" s="8"/>
      <c r="D1" s="8"/>
      <c r="E1" s="8"/>
      <c r="F1" s="8"/>
      <c r="G1" s="8"/>
      <c r="H1" s="8"/>
      <c r="I1" s="9"/>
    </row>
    <row r="2" spans="2:9" ht="15.75">
      <c r="B2" s="10" t="s">
        <v>53</v>
      </c>
      <c r="C2" s="11"/>
      <c r="D2" s="11"/>
      <c r="E2" s="4"/>
      <c r="F2" s="12" t="s">
        <v>54</v>
      </c>
      <c r="G2" s="11"/>
      <c r="H2" s="11"/>
      <c r="I2" s="13"/>
    </row>
    <row r="3" spans="2:9" ht="15">
      <c r="B3" s="14">
        <v>25.4</v>
      </c>
      <c r="C3" s="15" t="s">
        <v>55</v>
      </c>
      <c r="D3" s="16">
        <f>IF(B3="","",+B3/25.4)</f>
        <v>0.9999999999999999</v>
      </c>
      <c r="E3" s="5" t="s">
        <v>56</v>
      </c>
      <c r="F3" s="3">
        <v>1</v>
      </c>
      <c r="G3" s="15" t="s">
        <v>57</v>
      </c>
      <c r="H3" s="16">
        <f>IF(F3="","",+F3*25.4)</f>
        <v>25.400000000000002</v>
      </c>
      <c r="I3" s="17" t="s">
        <v>58</v>
      </c>
    </row>
    <row r="4" spans="2:9" ht="15">
      <c r="B4" s="14"/>
      <c r="C4" s="15" t="s">
        <v>59</v>
      </c>
      <c r="D4" s="16">
        <f>IF(B4="","",+B4/2.54)</f>
      </c>
      <c r="E4" s="5" t="s">
        <v>56</v>
      </c>
      <c r="F4" s="3">
        <v>1</v>
      </c>
      <c r="G4" s="15" t="s">
        <v>57</v>
      </c>
      <c r="H4" s="16">
        <f>IF(F4="","",+F4*2.54)</f>
        <v>2.54</v>
      </c>
      <c r="I4" s="17" t="s">
        <v>60</v>
      </c>
    </row>
    <row r="5" spans="2:9" ht="15">
      <c r="B5" s="14">
        <v>250</v>
      </c>
      <c r="C5" s="15" t="s">
        <v>61</v>
      </c>
      <c r="D5" s="18">
        <f>IF(B5="","",SUM(B5/0.3048))</f>
        <v>820.2099737532808</v>
      </c>
      <c r="E5" s="5" t="s">
        <v>62</v>
      </c>
      <c r="F5" s="3">
        <v>1</v>
      </c>
      <c r="G5" s="15" t="s">
        <v>63</v>
      </c>
      <c r="H5" s="18">
        <f>IF(F5="","",SUM(F5*0.3048))</f>
        <v>0.3048</v>
      </c>
      <c r="I5" s="17" t="s">
        <v>64</v>
      </c>
    </row>
    <row r="6" spans="2:9" ht="15">
      <c r="B6" s="14">
        <v>250</v>
      </c>
      <c r="C6" s="15" t="s">
        <v>61</v>
      </c>
      <c r="D6" s="18">
        <f>IF(B6="","",SUM(B6/0.9144))</f>
        <v>273.40332458442697</v>
      </c>
      <c r="E6" s="5" t="s">
        <v>65</v>
      </c>
      <c r="F6" s="3"/>
      <c r="G6" s="15" t="s">
        <v>66</v>
      </c>
      <c r="H6" s="18">
        <f>IF(F6="","",SUM(F6*0.9144))</f>
      </c>
      <c r="I6" s="17" t="s">
        <v>64</v>
      </c>
    </row>
    <row r="7" spans="2:9" ht="15">
      <c r="B7" s="14"/>
      <c r="C7" s="15" t="s">
        <v>67</v>
      </c>
      <c r="D7" s="16">
        <f>IF(B7="","",+B7/1.609344)</f>
      </c>
      <c r="E7" s="5" t="s">
        <v>68</v>
      </c>
      <c r="F7" s="3"/>
      <c r="G7" s="15" t="s">
        <v>69</v>
      </c>
      <c r="H7" s="16">
        <f>IF(F7="","",+F7*1.609344)</f>
      </c>
      <c r="I7" s="17" t="s">
        <v>70</v>
      </c>
    </row>
    <row r="8" spans="2:9" ht="15">
      <c r="B8" s="14"/>
      <c r="C8" s="15" t="s">
        <v>71</v>
      </c>
      <c r="D8" s="16">
        <f>IF(ISBLANK(B8),"",((9/5)*B8)+32)</f>
      </c>
      <c r="E8" s="5" t="s">
        <v>72</v>
      </c>
      <c r="F8" s="3">
        <v>1</v>
      </c>
      <c r="G8" s="15" t="s">
        <v>73</v>
      </c>
      <c r="H8" s="16">
        <f>IF(ISBLANK(F8),"",(5/9)*(F8-32))</f>
        <v>-17.22222222222222</v>
      </c>
      <c r="I8" s="17" t="s">
        <v>74</v>
      </c>
    </row>
    <row r="9" spans="2:9" ht="15">
      <c r="B9" s="14"/>
      <c r="C9" s="15" t="s">
        <v>75</v>
      </c>
      <c r="D9" s="16">
        <f>IF(B9="","",+B9*0.03527397)</f>
      </c>
      <c r="E9" s="5" t="s">
        <v>76</v>
      </c>
      <c r="F9" s="3"/>
      <c r="G9" s="15" t="s">
        <v>77</v>
      </c>
      <c r="H9" s="16">
        <f>IF(F9="","",+F9/0.03527397)</f>
      </c>
      <c r="I9" s="17" t="s">
        <v>78</v>
      </c>
    </row>
    <row r="10" spans="2:9" ht="15">
      <c r="B10" s="14">
        <v>63</v>
      </c>
      <c r="C10" s="15" t="s">
        <v>79</v>
      </c>
      <c r="D10" s="18">
        <f>IF(B10="","",B10/0.4535924)</f>
        <v>138.89121599039137</v>
      </c>
      <c r="E10" s="5" t="s">
        <v>80</v>
      </c>
      <c r="F10" s="3"/>
      <c r="G10" s="15" t="s">
        <v>81</v>
      </c>
      <c r="H10" s="18">
        <f>IF(F10="","",F10*0.4535924)</f>
      </c>
      <c r="I10" s="17" t="s">
        <v>82</v>
      </c>
    </row>
    <row r="11" spans="2:9" ht="15">
      <c r="B11" s="14"/>
      <c r="C11" s="15" t="s">
        <v>83</v>
      </c>
      <c r="D11" s="16">
        <f>IF(B11="","",+B11*1.056688)</f>
      </c>
      <c r="E11" s="5" t="s">
        <v>84</v>
      </c>
      <c r="F11" s="3"/>
      <c r="G11" s="15" t="s">
        <v>85</v>
      </c>
      <c r="H11" s="16">
        <f>IF(F11="","",+F11/1.056668)</f>
      </c>
      <c r="I11" s="17" t="s">
        <v>86</v>
      </c>
    </row>
    <row r="12" spans="2:9" ht="15">
      <c r="B12" s="14"/>
      <c r="C12" s="15" t="s">
        <v>83</v>
      </c>
      <c r="D12" s="16">
        <f>IF(B12="","",+B12*0.264172)</f>
      </c>
      <c r="E12" s="5" t="s">
        <v>87</v>
      </c>
      <c r="F12" s="3"/>
      <c r="G12" s="15" t="s">
        <v>88</v>
      </c>
      <c r="H12" s="16">
        <f>IF(F12="","",+F12/0.264172)</f>
      </c>
      <c r="I12" s="17" t="s">
        <v>86</v>
      </c>
    </row>
    <row r="13" spans="2:9" ht="15">
      <c r="B13" s="14"/>
      <c r="C13" s="18"/>
      <c r="D13" s="18"/>
      <c r="E13" s="6"/>
      <c r="F13" s="3"/>
      <c r="G13" s="18"/>
      <c r="H13" s="18"/>
      <c r="I13" s="19"/>
    </row>
    <row r="14" spans="2:9" ht="15">
      <c r="B14" s="14"/>
      <c r="C14" s="18"/>
      <c r="D14" s="18"/>
      <c r="E14" s="6"/>
      <c r="F14" s="3"/>
      <c r="G14" s="18"/>
      <c r="H14" s="18"/>
      <c r="I14" s="19"/>
    </row>
    <row r="15" spans="2:9" ht="15">
      <c r="B15" s="14"/>
      <c r="C15" s="18"/>
      <c r="D15" s="18"/>
      <c r="E15" s="6"/>
      <c r="F15" s="3"/>
      <c r="G15" s="18"/>
      <c r="H15" s="18"/>
      <c r="I15" s="19"/>
    </row>
    <row r="16" spans="2:9" ht="15">
      <c r="B16" s="14"/>
      <c r="C16" s="18"/>
      <c r="D16" s="18"/>
      <c r="E16" s="6"/>
      <c r="F16" s="3"/>
      <c r="G16" s="18"/>
      <c r="H16" s="18"/>
      <c r="I16" s="19"/>
    </row>
    <row r="17" spans="2:9" ht="15">
      <c r="B17" s="14"/>
      <c r="C17" s="18"/>
      <c r="D17" s="18"/>
      <c r="E17" s="6"/>
      <c r="F17" s="3"/>
      <c r="G17" s="18"/>
      <c r="H17" s="18"/>
      <c r="I17" s="19"/>
    </row>
    <row r="18" spans="2:9" ht="15">
      <c r="B18" s="14"/>
      <c r="C18" s="18"/>
      <c r="D18" s="18"/>
      <c r="E18" s="6"/>
      <c r="F18" s="3"/>
      <c r="G18" s="18"/>
      <c r="H18" s="18"/>
      <c r="I18" s="19"/>
    </row>
    <row r="19" spans="2:9" ht="15">
      <c r="B19" s="14"/>
      <c r="C19" s="18"/>
      <c r="D19" s="18"/>
      <c r="E19" s="6"/>
      <c r="F19" s="3"/>
      <c r="G19" s="18"/>
      <c r="H19" s="18"/>
      <c r="I19" s="19"/>
    </row>
    <row r="20" spans="2:9" ht="15.75" thickBot="1">
      <c r="B20" s="20">
        <v>2</v>
      </c>
      <c r="C20" s="21" t="s">
        <v>89</v>
      </c>
      <c r="D20" s="21">
        <f>IF(B20="","",+B20*0.0174532925199433)</f>
        <v>0.0349065850398866</v>
      </c>
      <c r="E20" s="22" t="s">
        <v>90</v>
      </c>
      <c r="F20" s="23">
        <v>2</v>
      </c>
      <c r="G20" s="21" t="s">
        <v>91</v>
      </c>
      <c r="H20" s="21">
        <f>IF(F20="","",+F20/0.0174532925199433)</f>
        <v>114.59155902616462</v>
      </c>
      <c r="I20" s="24" t="s">
        <v>92</v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B2:C9"/>
  <sheetViews>
    <sheetView showGridLines="0" showRowColHeaders="0" zoomScalePageLayoutView="0" workbookViewId="0" topLeftCell="A1">
      <selection activeCell="B7" sqref="B7"/>
    </sheetView>
  </sheetViews>
  <sheetFormatPr defaultColWidth="8.88671875" defaultRowHeight="15"/>
  <cols>
    <col min="1" max="1" width="4.3359375" style="0" customWidth="1"/>
    <col min="2" max="2" width="20.77734375" style="0" customWidth="1"/>
    <col min="3" max="3" width="50.77734375" style="0" customWidth="1"/>
    <col min="4" max="4" width="9.77734375" style="0" customWidth="1"/>
  </cols>
  <sheetData>
    <row r="2" spans="2:3" ht="20.25">
      <c r="B2" s="379" t="s">
        <v>93</v>
      </c>
      <c r="C2" s="380"/>
    </row>
    <row r="3" spans="2:3" ht="15">
      <c r="B3" s="363" t="s">
        <v>94</v>
      </c>
      <c r="C3" s="362" t="s">
        <v>95</v>
      </c>
    </row>
    <row r="4" spans="2:3" ht="16.5" customHeight="1">
      <c r="B4" s="363"/>
      <c r="C4" s="362"/>
    </row>
    <row r="5" spans="2:3" ht="15">
      <c r="B5" s="363"/>
      <c r="C5" s="362">
        <f>IF(B6="","Select the desired conversion from the drop down list above.","")</f>
      </c>
    </row>
    <row r="6" spans="2:3" ht="15">
      <c r="B6" s="382">
        <v>250</v>
      </c>
      <c r="C6" s="362" t="str">
        <f>IF(B6="","Enter the amount to convert in the white cell to the left.",Data!S26)</f>
        <v>Square Meters </v>
      </c>
    </row>
    <row r="7" spans="2:3" ht="15">
      <c r="B7" s="381" t="str">
        <f>IF(B6="","","x  "&amp;Data!S28)</f>
        <v>x  10.76391</v>
      </c>
      <c r="C7" s="362" t="str">
        <f>IF(B6="","The multiplier will automatically appear here.","is the multiplier")</f>
        <v>is the multiplier</v>
      </c>
    </row>
    <row r="8" spans="2:3" ht="15">
      <c r="B8" s="383">
        <f>Data!S29</f>
        <v>2690.9775</v>
      </c>
      <c r="C8" s="362" t="str">
        <f>IF(B6="","This is where the conversion is calculated.",Data!S27)</f>
        <v>Square Feet </v>
      </c>
    </row>
    <row r="9" spans="2:3" ht="15">
      <c r="B9" s="365"/>
      <c r="C9" s="36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B1:I21"/>
  <sheetViews>
    <sheetView showGridLines="0" showRowColHeaders="0" zoomScale="74" zoomScaleNormal="74" zoomScalePageLayoutView="0" workbookViewId="0" topLeftCell="A1">
      <selection activeCell="G37" sqref="G37"/>
    </sheetView>
  </sheetViews>
  <sheetFormatPr defaultColWidth="9.77734375" defaultRowHeight="15"/>
  <cols>
    <col min="1" max="1" width="10.77734375" style="0" customWidth="1"/>
    <col min="2" max="2" width="3.77734375" style="0" customWidth="1"/>
    <col min="3" max="3" width="10.77734375" style="0" customWidth="1"/>
    <col min="4" max="4" width="5.77734375" style="0" customWidth="1"/>
    <col min="5" max="9" width="10.77734375" style="0" customWidth="1"/>
    <col min="11" max="11" width="8.77734375" style="0" customWidth="1"/>
  </cols>
  <sheetData>
    <row r="1" spans="2:9" ht="23.25">
      <c r="B1" s="58" t="s">
        <v>96</v>
      </c>
      <c r="C1" s="59"/>
      <c r="D1" s="59"/>
      <c r="E1" s="59"/>
      <c r="F1" s="59"/>
      <c r="G1" s="59"/>
      <c r="H1" s="59"/>
      <c r="I1" s="60"/>
    </row>
    <row r="2" spans="2:9" ht="13.5" customHeight="1">
      <c r="B2" s="61" t="s">
        <v>97</v>
      </c>
      <c r="C2" s="11"/>
      <c r="D2" s="11"/>
      <c r="E2" s="11"/>
      <c r="F2" s="11"/>
      <c r="G2" s="11"/>
      <c r="H2" s="11"/>
      <c r="I2" s="62"/>
    </row>
    <row r="3" spans="2:9" ht="15">
      <c r="B3" s="63"/>
      <c r="C3" s="18"/>
      <c r="D3" s="18"/>
      <c r="E3" s="18"/>
      <c r="F3" s="18"/>
      <c r="G3" s="18"/>
      <c r="H3" s="11" t="s">
        <v>90</v>
      </c>
      <c r="I3" s="62"/>
    </row>
    <row r="4" spans="2:9" ht="15">
      <c r="B4" s="63"/>
      <c r="C4" s="18"/>
      <c r="D4" s="18"/>
      <c r="E4" s="176" t="s">
        <v>98</v>
      </c>
      <c r="F4" s="176" t="s">
        <v>99</v>
      </c>
      <c r="G4" s="176" t="s">
        <v>100</v>
      </c>
      <c r="H4" s="177" t="s">
        <v>101</v>
      </c>
      <c r="I4" s="178" t="s">
        <v>102</v>
      </c>
    </row>
    <row r="5" spans="2:9" ht="15">
      <c r="B5" s="64" t="s">
        <v>103</v>
      </c>
      <c r="C5" s="3"/>
      <c r="D5" s="18"/>
      <c r="E5" s="174">
        <f>IF(OR(C6="",C7=""),"",SQRT((C7*C7)-(C6*C6)))</f>
      </c>
      <c r="F5" s="174">
        <f>IF(OR(C5="",C7=""),"",SQRT((C7*C7)-(C5*C5)))</f>
      </c>
      <c r="G5" s="174">
        <f>IF(OR(C5="",C6=""),"",SQRT((C5*C5)+(C6*C6)))</f>
      </c>
      <c r="H5" s="175">
        <f>IF(OR(C5="",C6=""),"",ATAN(SUM(C6/C5))*180/PI())</f>
      </c>
      <c r="I5" s="173">
        <f>IF(OR(C5="",C6=""),"",SUM(90-H5))</f>
      </c>
    </row>
    <row r="6" spans="2:9" ht="15">
      <c r="B6" s="64" t="s">
        <v>104</v>
      </c>
      <c r="C6" s="3"/>
      <c r="D6" s="18"/>
      <c r="E6" s="174">
        <f>IF(OR(C7="",C10=""),"",SUM(C7*COS((C10)/180*PI())))</f>
      </c>
      <c r="F6" s="174">
        <f>IF(OR(C7="",C10=""),"",SUM(C7*SIN((C10)/180*PI())))</f>
      </c>
      <c r="G6" s="174">
        <f>IF(OR(C6="",C10=""),"",SUM(C6/SIN((C10)/180*PI())))</f>
      </c>
      <c r="H6" s="175">
        <f>IF(OR(C5="",C7=""),"",SUM(90-I6))</f>
      </c>
      <c r="I6" s="173">
        <f>IF(OR(C5="",C7=""),"",ASIN(SUM(C5/C7))*180/PI())</f>
      </c>
    </row>
    <row r="7" spans="2:9" ht="15">
      <c r="B7" s="64" t="s">
        <v>105</v>
      </c>
      <c r="C7" s="3"/>
      <c r="D7" s="18"/>
      <c r="E7" s="174">
        <f>IF(OR(C7="",C11=""),"",SUM(C7*SIN((C11)/180*PI())))</f>
      </c>
      <c r="F7" s="174">
        <f>IF(OR(C7="",C11=""),"",SUM(C7*COS((C11)/180*PI())))</f>
      </c>
      <c r="G7" s="174">
        <f>IF(OR(C6="",C11=""),"",SUM(C6/COS((C11)/180*PI())))</f>
      </c>
      <c r="H7" s="175">
        <f>IF(OR(C6="",C7=""),"",ASIN(SUM(C6/C7))*180/PI())</f>
      </c>
      <c r="I7" s="173">
        <f>IF(OR(C6="",C7=""),"",SUM(90-H7))</f>
      </c>
    </row>
    <row r="8" spans="2:9" ht="15">
      <c r="B8" s="63"/>
      <c r="C8" s="18"/>
      <c r="D8" s="18"/>
      <c r="E8" s="174">
        <f>IF(OR(C6="",C10=""),"",SUM(C6*TAN((90-C10)/180*PI())))</f>
      </c>
      <c r="F8" s="174">
        <f>IF(OR(C5="",C10=""),"",SUM(C5*TAN((C10)/180*PI())))</f>
      </c>
      <c r="G8" s="174">
        <f>IF(OR(C5="",C10=""),"",SUM(C5/COS((C10)/180*PI())))</f>
      </c>
      <c r="H8" s="175">
        <f>IF(OR(C7="",C11=""),"",SUM(90-C11))</f>
      </c>
      <c r="I8" s="173">
        <f>IF(OR(C7="",C10=""),"",SUM(90-C10))</f>
      </c>
    </row>
    <row r="9" spans="2:9" ht="15">
      <c r="B9" s="64" t="s">
        <v>106</v>
      </c>
      <c r="C9" s="18">
        <v>90</v>
      </c>
      <c r="D9" s="18"/>
      <c r="E9" s="174">
        <f>IF(OR(C6="",C11=""),"",SUM(C6*TAN((C11)/180*PI())))</f>
      </c>
      <c r="F9" s="174">
        <f>IF(OR(C5="",C11=""),"",SUM(C5*TAN((90-C11)/180*PI())))</f>
      </c>
      <c r="G9" s="174">
        <f>IF(OR(C5="",C11=""),"",SUM(C5/SIN((C11)/180*PI())))</f>
      </c>
      <c r="H9" s="175">
        <f>IF(OR(C6="",C11=""),"",SUM(90-C11))</f>
      </c>
      <c r="I9" s="173">
        <f>IF(OR(C6="",C10=""),"",SUM(90-C10))</f>
      </c>
    </row>
    <row r="10" spans="2:9" ht="15">
      <c r="B10" s="64" t="s">
        <v>107</v>
      </c>
      <c r="C10" s="3"/>
      <c r="D10" s="51">
        <f>IF(OR(C10="",C11=""),"","This will not work with 2 angles entered")</f>
      </c>
      <c r="E10" s="174"/>
      <c r="F10" s="174"/>
      <c r="G10" s="174"/>
      <c r="H10" s="175">
        <f>IF(OR(C5="",C11=""),"",SUM(90-C11))</f>
      </c>
      <c r="I10" s="173">
        <f>IF(OR(C5="",C10=""),"",SUM(90-C10))</f>
      </c>
    </row>
    <row r="11" spans="2:9" ht="15">
      <c r="B11" s="64" t="s">
        <v>108</v>
      </c>
      <c r="C11" s="3"/>
      <c r="D11" s="18"/>
      <c r="E11" s="105"/>
      <c r="F11" s="105"/>
      <c r="G11" s="105"/>
      <c r="H11" s="11"/>
      <c r="I11" s="62"/>
    </row>
    <row r="12" spans="2:9" ht="15.75">
      <c r="B12" s="63"/>
      <c r="C12" s="18"/>
      <c r="D12" s="18"/>
      <c r="E12" s="108" t="s">
        <v>109</v>
      </c>
      <c r="F12" s="109"/>
      <c r="G12" s="109"/>
      <c r="H12" s="110"/>
      <c r="I12" s="111"/>
    </row>
    <row r="13" spans="2:9" ht="12" customHeight="1">
      <c r="B13" s="63"/>
      <c r="C13" s="18"/>
      <c r="D13" s="18"/>
      <c r="E13" s="132" t="s">
        <v>110</v>
      </c>
      <c r="F13" s="112"/>
      <c r="G13" s="112"/>
      <c r="H13" s="113"/>
      <c r="I13" s="114"/>
    </row>
    <row r="14" spans="2:9" ht="15">
      <c r="B14" s="63"/>
      <c r="C14" s="18"/>
      <c r="D14" s="18"/>
      <c r="E14" s="115">
        <f>IF(G14="","",+G14)</f>
        <v>6</v>
      </c>
      <c r="F14" s="116" t="s">
        <v>90</v>
      </c>
      <c r="G14" s="3">
        <v>6</v>
      </c>
      <c r="H14" s="117">
        <f>IF(G14+G15+G16="","",TRUNC(E14))</f>
        <v>6</v>
      </c>
      <c r="I14" s="118" t="s">
        <v>90</v>
      </c>
    </row>
    <row r="15" spans="2:9" ht="15">
      <c r="B15" s="66" t="s">
        <v>101</v>
      </c>
      <c r="C15" s="18"/>
      <c r="D15" s="18"/>
      <c r="E15" s="115">
        <f>IF(G15="","",G15/60)</f>
        <v>0.4166666666666667</v>
      </c>
      <c r="F15" s="116" t="s">
        <v>111</v>
      </c>
      <c r="G15" s="3">
        <v>25</v>
      </c>
      <c r="H15" s="117">
        <f>IF(G14+G15+G16="","",TRUNC((E17-H14)*60))</f>
        <v>25</v>
      </c>
      <c r="I15" s="118" t="s">
        <v>111</v>
      </c>
    </row>
    <row r="16" spans="2:9" ht="15">
      <c r="B16" s="63"/>
      <c r="C16" s="18"/>
      <c r="D16" s="18"/>
      <c r="E16" s="119">
        <f>IF(G16="","",G16/3600)</f>
      </c>
      <c r="F16" s="116" t="s">
        <v>112</v>
      </c>
      <c r="G16" s="3"/>
      <c r="H16" s="147">
        <f>IF(G14+G15+G16="","",((E17-H14)*60-H15)*60)</f>
        <v>1.0658141036401503E-12</v>
      </c>
      <c r="I16" s="118" t="s">
        <v>112</v>
      </c>
    </row>
    <row r="17" spans="2:9" ht="15">
      <c r="B17" s="63"/>
      <c r="C17" s="18"/>
      <c r="D17" s="15" t="s">
        <v>100</v>
      </c>
      <c r="E17" s="120">
        <f>IF(G14+G15+G16="","",SUM(E14+E15+E16))</f>
        <v>6.416666666666667</v>
      </c>
      <c r="F17" s="121" t="s">
        <v>113</v>
      </c>
      <c r="G17" s="122"/>
      <c r="H17" s="122"/>
      <c r="I17" s="123"/>
    </row>
    <row r="18" spans="2:9" ht="15.75">
      <c r="B18" s="66" t="s">
        <v>114</v>
      </c>
      <c r="C18" s="18"/>
      <c r="D18" s="18"/>
      <c r="E18" s="18"/>
      <c r="F18" s="41" t="s">
        <v>115</v>
      </c>
      <c r="G18" s="18" t="s">
        <v>116</v>
      </c>
      <c r="H18" s="18"/>
      <c r="I18" s="65"/>
    </row>
    <row r="19" spans="2:9" ht="15">
      <c r="B19" s="63"/>
      <c r="C19" s="18"/>
      <c r="D19" s="18"/>
      <c r="E19" s="18"/>
      <c r="F19" s="18"/>
      <c r="G19" s="18" t="s">
        <v>117</v>
      </c>
      <c r="H19" s="18"/>
      <c r="I19" s="65"/>
    </row>
    <row r="20" spans="2:9" ht="15">
      <c r="B20" s="63"/>
      <c r="C20" s="18"/>
      <c r="D20" s="18"/>
      <c r="E20" s="38" t="s">
        <v>118</v>
      </c>
      <c r="F20" s="18"/>
      <c r="G20" s="18" t="s">
        <v>119</v>
      </c>
      <c r="H20" s="18"/>
      <c r="I20" s="65"/>
    </row>
    <row r="21" spans="2:9" ht="15.75" thickBot="1">
      <c r="B21" s="67" t="s">
        <v>120</v>
      </c>
      <c r="C21" s="68"/>
      <c r="D21" s="69" t="s">
        <v>99</v>
      </c>
      <c r="E21" s="68"/>
      <c r="F21" s="68"/>
      <c r="G21" s="68"/>
      <c r="H21" s="68"/>
      <c r="I21" s="7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37"/>
  </sheetPr>
  <dimension ref="A1:O30"/>
  <sheetViews>
    <sheetView showGridLines="0" showRowColHeaders="0" zoomScale="74" zoomScaleNormal="74" zoomScalePageLayoutView="0" workbookViewId="0" topLeftCell="A1">
      <selection activeCell="I38" sqref="I38"/>
    </sheetView>
  </sheetViews>
  <sheetFormatPr defaultColWidth="9.77734375" defaultRowHeight="15"/>
  <cols>
    <col min="1" max="1" width="2.77734375" style="0" customWidth="1"/>
    <col min="2" max="2" width="4.88671875" style="0" customWidth="1"/>
    <col min="3" max="3" width="10.77734375" style="0" customWidth="1"/>
    <col min="4" max="4" width="7.21484375" style="0" customWidth="1"/>
    <col min="5" max="5" width="8.3359375" style="0" customWidth="1"/>
    <col min="6" max="9" width="7.77734375" style="0" customWidth="1"/>
    <col min="10" max="10" width="2.77734375" style="0" customWidth="1"/>
    <col min="11" max="11" width="7.99609375" style="0" customWidth="1"/>
    <col min="12" max="12" width="8.21484375" style="0" customWidth="1"/>
    <col min="13" max="13" width="2.77734375" style="0" customWidth="1"/>
    <col min="15" max="15" width="8.77734375" style="0" customWidth="1"/>
  </cols>
  <sheetData>
    <row r="1" spans="1:15" ht="23.25">
      <c r="A1" s="96"/>
      <c r="B1" s="200" t="s">
        <v>121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96"/>
      <c r="O1" s="203"/>
    </row>
    <row r="2" spans="1:15" ht="15.75">
      <c r="A2" s="96"/>
      <c r="B2" s="221" t="s">
        <v>122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9"/>
      <c r="N2" s="96"/>
      <c r="O2" s="203"/>
    </row>
    <row r="3" spans="1:15" ht="15.75">
      <c r="A3" s="96"/>
      <c r="B3" s="22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9"/>
      <c r="N3" s="96"/>
      <c r="O3" s="203"/>
    </row>
    <row r="4" spans="1:15" ht="13.5" customHeight="1">
      <c r="A4" s="96"/>
      <c r="B4" s="204"/>
      <c r="C4" s="196"/>
      <c r="D4" s="196"/>
      <c r="E4" s="196"/>
      <c r="F4" s="422"/>
      <c r="G4" s="423"/>
      <c r="H4" s="424" t="s">
        <v>123</v>
      </c>
      <c r="I4" s="425"/>
      <c r="J4" s="196"/>
      <c r="K4" s="216" t="s">
        <v>124</v>
      </c>
      <c r="L4" s="217" t="s">
        <v>124</v>
      </c>
      <c r="M4" s="199"/>
      <c r="N4" s="96"/>
      <c r="O4" s="203"/>
    </row>
    <row r="5" spans="1:15" ht="15.75">
      <c r="A5" s="96"/>
      <c r="B5" s="204"/>
      <c r="C5" s="196"/>
      <c r="D5" s="213" t="s">
        <v>125</v>
      </c>
      <c r="E5" s="196"/>
      <c r="F5" s="211" t="s">
        <v>126</v>
      </c>
      <c r="G5" s="210"/>
      <c r="H5" s="406" t="s">
        <v>126</v>
      </c>
      <c r="I5" s="419"/>
      <c r="J5" s="421"/>
      <c r="K5" s="214" t="s">
        <v>127</v>
      </c>
      <c r="L5" s="218" t="s">
        <v>128</v>
      </c>
      <c r="M5" s="199"/>
      <c r="N5" s="96"/>
      <c r="O5" s="203"/>
    </row>
    <row r="6" spans="1:15" ht="15">
      <c r="A6" s="96"/>
      <c r="B6" s="204"/>
      <c r="C6" s="197" t="s">
        <v>129</v>
      </c>
      <c r="D6" s="263"/>
      <c r="E6" s="196" t="s">
        <v>130</v>
      </c>
      <c r="F6" s="212">
        <f>IF(D7="","",D6-(1.29904*(D8/100)/D7))</f>
      </c>
      <c r="G6" s="198" t="s">
        <v>130</v>
      </c>
      <c r="H6" s="407">
        <f>IF(D7="","",D6-(0.0068*D8/D7))</f>
      </c>
      <c r="I6" s="420" t="s">
        <v>130</v>
      </c>
      <c r="J6" s="198"/>
      <c r="K6" s="261">
        <v>0</v>
      </c>
      <c r="L6" s="262">
        <v>0.034</v>
      </c>
      <c r="M6" s="199"/>
      <c r="N6" s="96"/>
      <c r="O6" s="203"/>
    </row>
    <row r="7" spans="1:15" ht="15">
      <c r="A7" s="96"/>
      <c r="B7" s="204"/>
      <c r="C7" s="197" t="s">
        <v>131</v>
      </c>
      <c r="D7" s="188"/>
      <c r="E7" s="196"/>
      <c r="F7" s="212">
        <f>IF(D7="","",F6*25.4)</f>
      </c>
      <c r="G7" s="198" t="s">
        <v>132</v>
      </c>
      <c r="H7" s="407">
        <f>IF(D7="","",H6*25.4)</f>
      </c>
      <c r="I7" s="420" t="s">
        <v>132</v>
      </c>
      <c r="J7" s="198"/>
      <c r="K7" s="260">
        <v>0</v>
      </c>
      <c r="L7" s="262">
        <v>0.047</v>
      </c>
      <c r="M7" s="199"/>
      <c r="N7" s="96"/>
      <c r="O7" s="203"/>
    </row>
    <row r="8" spans="1:15" ht="15">
      <c r="A8" s="96"/>
      <c r="B8" s="204"/>
      <c r="C8" s="197" t="s">
        <v>133</v>
      </c>
      <c r="D8" s="387">
        <v>75</v>
      </c>
      <c r="E8" s="196" t="s">
        <v>134</v>
      </c>
      <c r="F8" s="439"/>
      <c r="G8" s="196"/>
      <c r="H8" s="411"/>
      <c r="I8" s="392"/>
      <c r="J8" s="198"/>
      <c r="K8" s="215">
        <v>0</v>
      </c>
      <c r="L8" s="262">
        <v>0.06</v>
      </c>
      <c r="M8" s="199"/>
      <c r="N8" s="96"/>
      <c r="O8" s="203"/>
    </row>
    <row r="9" spans="1:15" ht="15">
      <c r="A9" s="96"/>
      <c r="B9" s="413"/>
      <c r="C9" s="386"/>
      <c r="D9" s="386"/>
      <c r="E9" s="386"/>
      <c r="F9" s="414"/>
      <c r="G9" s="386"/>
      <c r="H9" s="415"/>
      <c r="I9" s="417"/>
      <c r="J9" s="386"/>
      <c r="K9" s="215">
        <v>1</v>
      </c>
      <c r="L9" s="262">
        <v>0.073</v>
      </c>
      <c r="M9" s="199"/>
      <c r="N9" s="96"/>
      <c r="O9" s="203"/>
    </row>
    <row r="10" spans="1:15" ht="15">
      <c r="A10" s="96"/>
      <c r="B10" s="393"/>
      <c r="C10" s="394"/>
      <c r="D10" s="402"/>
      <c r="E10" s="395"/>
      <c r="F10" s="427" t="str">
        <f>IF(D6&gt;1.5,"","Drill")</f>
        <v>Drill</v>
      </c>
      <c r="G10" s="428" t="str">
        <f>IF(D6&gt;1.5,"","Inches")</f>
        <v>Inches</v>
      </c>
      <c r="H10" s="429" t="str">
        <f>IF(D6&gt;1.5,"","Drill")</f>
        <v>Drill</v>
      </c>
      <c r="I10" s="430" t="str">
        <f>IF(D6&gt;1.5,"","Inches")</f>
        <v>Inches</v>
      </c>
      <c r="J10" s="196"/>
      <c r="K10" s="215">
        <v>2</v>
      </c>
      <c r="L10" s="262">
        <v>0.086</v>
      </c>
      <c r="M10" s="199"/>
      <c r="N10" s="96"/>
      <c r="O10" s="203"/>
    </row>
    <row r="11" spans="1:15" ht="15">
      <c r="A11" s="96"/>
      <c r="B11" s="523" t="str">
        <f>IF(D6&gt;1.5,"","Closest Inch Drill Bits")</f>
        <v>Closest Inch Drill Bits</v>
      </c>
      <c r="C11" s="530"/>
      <c r="D11" s="530"/>
      <c r="E11" s="525"/>
      <c r="F11" s="396">
        <f>IF(D7="","",IF(D6&gt;1.5,"",INDEX(Data!G101:G318,MATCH(F6,Data!F101:F318,1),1)))</f>
      </c>
      <c r="G11" s="403">
        <f>IF(D7="","",IF(D6&gt;1.5,"",INDEX(Data!F101:F318,MATCH(F6,Data!F101:F318,1),1)))</f>
      </c>
      <c r="H11" s="408">
        <f>IF(D7="","",IF(D6&gt;1.5,"",INDEX(Data!G101:G318,MATCH(H6,Data!F101:F318,1),1)))</f>
      </c>
      <c r="I11" s="398">
        <f>IF(D7="","",IF(D6&gt;1.5,"",INDEX(Data!F101:F318,MATCH(H6,Data!F101:F318,1),1)))</f>
      </c>
      <c r="J11" s="50"/>
      <c r="K11" s="215">
        <v>3</v>
      </c>
      <c r="L11" s="262">
        <v>0.099</v>
      </c>
      <c r="M11" s="199"/>
      <c r="N11" s="96"/>
      <c r="O11" s="203"/>
    </row>
    <row r="12" spans="1:15" ht="15">
      <c r="A12" s="96"/>
      <c r="B12" s="526"/>
      <c r="C12" s="530"/>
      <c r="D12" s="530"/>
      <c r="E12" s="525"/>
      <c r="F12" s="399">
        <f>IF(D7="","",IF(D6&gt;1.5,"",INDEX(Data!J101:J318,MATCH(F6,Data!I101:I318,-1),1)))</f>
      </c>
      <c r="G12" s="404">
        <f>IF(D7="","",IF(D6&gt;1.5,"",INDEX(Data!I101:I318,MATCH(F6,Data!I101:I318,-1),1)))</f>
      </c>
      <c r="H12" s="409">
        <f>IF(D7="","",IF(D6&gt;1.5,"",INDEX(Data!J101:J318,MATCH(H6,Data!I101:I318,-1),1)))</f>
      </c>
      <c r="I12" s="400">
        <f>IF(D7="","",IF(D6&gt;1.5,"",INDEX(Data!I101:I318,MATCH(H6,Data!I101:I318,-1),1)))</f>
      </c>
      <c r="J12" s="416"/>
      <c r="K12" s="215">
        <v>4</v>
      </c>
      <c r="L12" s="262">
        <v>0.112</v>
      </c>
      <c r="M12" s="199"/>
      <c r="N12" s="96"/>
      <c r="O12" s="203"/>
    </row>
    <row r="13" spans="1:15" ht="15">
      <c r="A13" s="96"/>
      <c r="B13" s="523" t="str">
        <f>IF(D6&gt;1.5,"","Closest Millimeter Drill Bits")</f>
        <v>Closest Millimeter Drill Bits</v>
      </c>
      <c r="C13" s="530"/>
      <c r="D13" s="530"/>
      <c r="E13" s="525"/>
      <c r="F13" s="397">
        <f>IF(D7="","",IF(D6&gt;1.5,"",INDEX(Data!P2:P215,MATCH(F6,Data!O2:O215,1),1)))</f>
      </c>
      <c r="G13" s="403">
        <f>IF(D7="","",IF(D6&gt;1.5,"",INDEX(Data!O2:O215,MATCH(F6,Data!O2:O215,1),1)))</f>
      </c>
      <c r="H13" s="410">
        <f>IF(D7="","",IF(D6&gt;1.5,"",INDEX(Data!P2:P215,MATCH(H6,Data!O2:O215,1),1)))</f>
      </c>
      <c r="I13" s="398">
        <f>IF(D7="","",IF(D6&gt;1.5,"",INDEX(Data!O2:O215,MATCH(H6,Data!O2:O215,1),1)))</f>
      </c>
      <c r="J13" s="50"/>
      <c r="K13" s="215">
        <v>5</v>
      </c>
      <c r="L13" s="262">
        <v>0.125</v>
      </c>
      <c r="M13" s="199"/>
      <c r="N13" s="96"/>
      <c r="O13" s="203"/>
    </row>
    <row r="14" spans="1:15" ht="15">
      <c r="A14" s="96"/>
      <c r="B14" s="526"/>
      <c r="C14" s="524"/>
      <c r="D14" s="524"/>
      <c r="E14" s="525"/>
      <c r="F14" s="397">
        <f>IF(D7="","",IF(D6&gt;1.5,"",INDEX(Data!R2:R215,MATCH(F6,Data!Q2:Q215,-1),1)))</f>
      </c>
      <c r="G14" s="403">
        <f>IF(D7="","",IF(D6&gt;1.5,"",INDEX(Data!Q2:Q215,MATCH(F6,Data!Q2:Q215,-1),1)))</f>
      </c>
      <c r="H14" s="410">
        <f>IF(D7="","",IF(D6&gt;1.5,"",INDEX(Data!R2:R215,MATCH(H6,Data!Q2:Q215,-1),1)))</f>
      </c>
      <c r="I14" s="398">
        <f>IF(D7="","",IF(D6&gt;1.5,"",INDEX(Data!Q2:Q215,MATCH(H6,Data!Q2:Q215,-1),1)))</f>
      </c>
      <c r="J14" s="50"/>
      <c r="K14" s="215">
        <v>6</v>
      </c>
      <c r="L14" s="262">
        <v>0.138</v>
      </c>
      <c r="M14" s="199"/>
      <c r="N14" s="96"/>
      <c r="O14" s="203"/>
    </row>
    <row r="15" spans="1:15" ht="15" customHeight="1">
      <c r="A15" s="96"/>
      <c r="B15" s="432"/>
      <c r="C15" s="433"/>
      <c r="D15" s="433"/>
      <c r="E15" s="433"/>
      <c r="F15" s="433"/>
      <c r="G15" s="433"/>
      <c r="H15" s="433"/>
      <c r="I15" s="434"/>
      <c r="J15" s="417"/>
      <c r="K15" s="215">
        <v>7</v>
      </c>
      <c r="L15" s="262">
        <v>0.151</v>
      </c>
      <c r="M15" s="199"/>
      <c r="N15" s="96"/>
      <c r="O15" s="203"/>
    </row>
    <row r="16" spans="1:15" ht="15">
      <c r="A16" s="96"/>
      <c r="B16" s="63"/>
      <c r="C16" s="18"/>
      <c r="D16" s="18"/>
      <c r="E16" s="18"/>
      <c r="F16" s="431"/>
      <c r="G16" s="18"/>
      <c r="H16" s="405" t="s">
        <v>123</v>
      </c>
      <c r="I16" s="418"/>
      <c r="J16" s="392"/>
      <c r="K16" s="215">
        <v>8</v>
      </c>
      <c r="L16" s="262">
        <v>0.164</v>
      </c>
      <c r="M16" s="199"/>
      <c r="N16" s="205"/>
      <c r="O16" s="96"/>
    </row>
    <row r="17" spans="1:15" ht="15.75">
      <c r="A17" s="96"/>
      <c r="B17" s="63"/>
      <c r="C17" s="196"/>
      <c r="D17" s="213" t="s">
        <v>135</v>
      </c>
      <c r="E17" s="196"/>
      <c r="F17" s="211" t="s">
        <v>126</v>
      </c>
      <c r="G17" s="210"/>
      <c r="H17" s="406" t="s">
        <v>126</v>
      </c>
      <c r="I17" s="419"/>
      <c r="J17" s="198"/>
      <c r="K17" s="215">
        <v>9</v>
      </c>
      <c r="L17" s="262">
        <v>0.177</v>
      </c>
      <c r="M17" s="199"/>
      <c r="N17" s="96"/>
      <c r="O17" s="96"/>
    </row>
    <row r="18" spans="1:15" ht="15">
      <c r="A18" s="96"/>
      <c r="B18" s="204"/>
      <c r="C18" s="197" t="s">
        <v>129</v>
      </c>
      <c r="D18" s="222"/>
      <c r="E18" s="196" t="s">
        <v>132</v>
      </c>
      <c r="F18" s="212">
        <f>IF(D19="","",D18-(1.29904*D19*(D20/100)))</f>
      </c>
      <c r="G18" s="198" t="s">
        <v>132</v>
      </c>
      <c r="H18" s="407">
        <f>IF(D19="","",H19*25.4)</f>
      </c>
      <c r="I18" s="420" t="s">
        <v>132</v>
      </c>
      <c r="J18" s="198"/>
      <c r="K18" s="215">
        <v>10</v>
      </c>
      <c r="L18" s="262">
        <v>0.19</v>
      </c>
      <c r="M18" s="199"/>
      <c r="N18" s="96"/>
      <c r="O18" s="96"/>
    </row>
    <row r="19" spans="1:15" ht="15">
      <c r="A19" s="96"/>
      <c r="B19" s="204"/>
      <c r="C19" s="197" t="s">
        <v>136</v>
      </c>
      <c r="D19" s="222"/>
      <c r="E19" s="196" t="s">
        <v>132</v>
      </c>
      <c r="F19" s="212">
        <f>IF(D19="","",F18/25.4)</f>
      </c>
      <c r="G19" s="198" t="s">
        <v>130</v>
      </c>
      <c r="H19" s="407">
        <f>IF(D19="","",(D18/25.4)-((0.0068*D20)/F21))</f>
      </c>
      <c r="I19" s="420" t="s">
        <v>130</v>
      </c>
      <c r="J19" s="196"/>
      <c r="K19" s="215">
        <v>12</v>
      </c>
      <c r="L19" s="262">
        <v>0.216</v>
      </c>
      <c r="M19" s="199"/>
      <c r="N19" s="96"/>
      <c r="O19" s="96"/>
    </row>
    <row r="20" spans="1:15" ht="15">
      <c r="A20" s="96"/>
      <c r="B20" s="204"/>
      <c r="C20" s="197" t="s">
        <v>133</v>
      </c>
      <c r="D20" s="222">
        <v>75</v>
      </c>
      <c r="E20" s="196" t="s">
        <v>134</v>
      </c>
      <c r="F20" s="439"/>
      <c r="G20" s="196"/>
      <c r="H20" s="411"/>
      <c r="I20" s="392"/>
      <c r="J20" s="196"/>
      <c r="K20" s="384">
        <v>14</v>
      </c>
      <c r="L20" s="385">
        <v>0.242</v>
      </c>
      <c r="M20" s="199"/>
      <c r="N20" s="96"/>
      <c r="O20" s="96"/>
    </row>
    <row r="21" spans="1:15" ht="15">
      <c r="A21" s="96"/>
      <c r="B21" s="204"/>
      <c r="C21" s="196"/>
      <c r="D21" s="196"/>
      <c r="E21" s="197" t="s">
        <v>137</v>
      </c>
      <c r="F21" s="401">
        <f>IF(D19="","",1/(D19/25.4))</f>
      </c>
      <c r="G21" s="196"/>
      <c r="H21" s="412"/>
      <c r="I21" s="392"/>
      <c r="J21" s="196"/>
      <c r="K21" s="388"/>
      <c r="L21" s="389"/>
      <c r="M21" s="199"/>
      <c r="N21" s="96"/>
      <c r="O21" s="96"/>
    </row>
    <row r="22" spans="1:15" ht="15">
      <c r="A22" s="96"/>
      <c r="B22" s="393"/>
      <c r="C22" s="394"/>
      <c r="D22" s="402"/>
      <c r="E22" s="395"/>
      <c r="F22" s="427" t="str">
        <f>IF(D18&gt;38.5,"","Drill")</f>
        <v>Drill</v>
      </c>
      <c r="G22" s="428" t="str">
        <f>IF(D18&gt;38.5,"","Inches")</f>
        <v>Inches</v>
      </c>
      <c r="H22" s="429" t="str">
        <f>IF(D18&gt;38.5,"","Drill")</f>
        <v>Drill</v>
      </c>
      <c r="I22" s="430" t="str">
        <f>IF(D18&gt;38.5,"","Inches")</f>
        <v>Inches</v>
      </c>
      <c r="J22" s="50"/>
      <c r="K22" s="220" t="s">
        <v>867</v>
      </c>
      <c r="L22" s="389"/>
      <c r="M22" s="199"/>
      <c r="N22" s="96"/>
      <c r="O22" s="96"/>
    </row>
    <row r="23" spans="1:15" ht="15">
      <c r="A23" s="96"/>
      <c r="B23" s="523" t="str">
        <f>IF(D18&gt;38.5,"","Closest Inch Drill Bits")</f>
        <v>Closest Inch Drill Bits</v>
      </c>
      <c r="C23" s="524"/>
      <c r="D23" s="524"/>
      <c r="E23" s="525"/>
      <c r="F23" s="396">
        <f>IF(D19="","",IF(D18&gt;38.5,"",INDEX(Data!G101:G318,MATCH(F19,Data!F101:F318,1),1)))</f>
      </c>
      <c r="G23" s="403">
        <f>IF(D19="","",IF(D18&gt;38.5,"",INDEX(Data!F101:F318,MATCH(F19,Data!F101:F318,1),1)))</f>
      </c>
      <c r="H23" s="408">
        <f>IF(D19="","",IF(D18&gt;38.5,"",INDEX(Data!G101:G318,MATCH(H19,Data!F101:F318,1),1)))</f>
      </c>
      <c r="I23" s="398">
        <f>IF(D19="","",IF(D18&gt;38.5,"",INDEX(Data!F101:F318,MATCH(H19,Data!F101:F318,1),1)))</f>
      </c>
      <c r="J23" s="416"/>
      <c r="K23" s="426" t="s">
        <v>868</v>
      </c>
      <c r="L23" s="389"/>
      <c r="M23" s="199"/>
      <c r="N23" s="96"/>
      <c r="O23" s="96"/>
    </row>
    <row r="24" spans="1:15" ht="15">
      <c r="A24" s="96"/>
      <c r="B24" s="526"/>
      <c r="C24" s="524"/>
      <c r="D24" s="524"/>
      <c r="E24" s="525"/>
      <c r="F24" s="399">
        <f>IF(D19="","",IF(D18&gt;38.5,"",INDEX(Data!J101:J318,MATCH(F19,Data!I101:I318,-1),1)))</f>
      </c>
      <c r="G24" s="404">
        <f>IF(D19="","",IF(D18&gt;38.5,"",INDEX(Data!I101:I318,MATCH(F19,Data!I101:I318,-1),1)))</f>
      </c>
      <c r="H24" s="409">
        <f>IF(D19="","",IF(D18&gt;38.5,"",INDEX(Data!J101:J318,MATCH(H19,Data!I101:I318,-1),1)))</f>
      </c>
      <c r="I24" s="400">
        <f>IF(D19="","",IF(D18&gt;38.5,"",INDEX(Data!I101:I318,MATCH(H19,Data!I101:I318,-1),1)))</f>
      </c>
      <c r="J24" s="50"/>
      <c r="K24" s="426" t="s">
        <v>869</v>
      </c>
      <c r="L24" s="389"/>
      <c r="M24" s="199"/>
      <c r="N24" s="96"/>
      <c r="O24" s="96"/>
    </row>
    <row r="25" spans="1:15" ht="15">
      <c r="A25" s="96"/>
      <c r="B25" s="523" t="str">
        <f>IF(D18&gt;38.5,"","Closest Millimeter Drill Bits")</f>
        <v>Closest Millimeter Drill Bits</v>
      </c>
      <c r="C25" s="524"/>
      <c r="D25" s="524"/>
      <c r="E25" s="525"/>
      <c r="F25" s="397">
        <f>IF(D19="","",IF(D18&gt;38.5,"",INDEX(Data!P2:P215,MATCH(F19,Data!O2:O215,1),1)))</f>
      </c>
      <c r="G25" s="403">
        <f>IF(D19="","",IF(D18&gt;38.5,"",INDEX(Data!O2:O215,MATCH(F19,Data!O2:O215,1),1)))</f>
      </c>
      <c r="H25" s="410">
        <f>IF(D19="","",IF(D18&gt;38.5,"",INDEX(Data!P2:P215,MATCH(H19,Data!O2:O215,1),1)))</f>
      </c>
      <c r="I25" s="398">
        <f>IF(D19="","",IF(D18&gt;38.5,"",INDEX(Data!O2:O215,MATCH(H19,Data!O2:O215,1),1)))</f>
      </c>
      <c r="J25" s="50"/>
      <c r="K25" s="388"/>
      <c r="L25" s="389"/>
      <c r="M25" s="199"/>
      <c r="N25" s="96"/>
      <c r="O25" s="96"/>
    </row>
    <row r="26" spans="1:15" ht="15">
      <c r="A26" s="96"/>
      <c r="B26" s="527"/>
      <c r="C26" s="528"/>
      <c r="D26" s="528"/>
      <c r="E26" s="529"/>
      <c r="F26" s="435">
        <f>IF(D19="","",IF(D18&gt;38.5,"",INDEX(Data!R2:R215,MATCH(F19,Data!Q2:Q215,-1),1)))</f>
      </c>
      <c r="G26" s="436">
        <f>IF(D19="","",IF(D18&gt;38.5,"",INDEX(Data!Q2:Q215,MATCH(F19,Data!Q2:Q215,-1),1)))</f>
      </c>
      <c r="H26" s="437">
        <f>IF(D19="","",IF(D18&gt;38.5,"",INDEX(Data!R2:R215,MATCH(H19,Data!Q2:Q215,-1),1)))</f>
      </c>
      <c r="I26" s="438">
        <f>IF(D19="","",IF(D18&gt;38.5,"",INDEX(Data!Q2:Q215,MATCH(H19,Data!Q2:Q215,-1),1)))</f>
      </c>
      <c r="J26" s="196"/>
      <c r="K26" s="388"/>
      <c r="L26" s="389"/>
      <c r="M26" s="199"/>
      <c r="N26" s="96"/>
      <c r="O26" s="96"/>
    </row>
    <row r="27" spans="1:15" ht="15">
      <c r="A27" s="96"/>
      <c r="B27" s="204"/>
      <c r="C27" s="386"/>
      <c r="D27" s="196"/>
      <c r="E27" s="196"/>
      <c r="F27" s="196"/>
      <c r="G27" s="386"/>
      <c r="H27" s="220"/>
      <c r="I27" s="196"/>
      <c r="J27" s="196"/>
      <c r="K27" s="388"/>
      <c r="L27" s="389"/>
      <c r="M27" s="199"/>
      <c r="N27" s="96"/>
      <c r="O27" s="96"/>
    </row>
    <row r="28" spans="1:15" ht="15.75" thickBot="1">
      <c r="A28" s="96"/>
      <c r="B28" s="206"/>
      <c r="C28" s="207"/>
      <c r="D28" s="207"/>
      <c r="E28" s="207"/>
      <c r="F28" s="207"/>
      <c r="G28" s="207"/>
      <c r="H28" s="207"/>
      <c r="I28" s="207"/>
      <c r="J28" s="207"/>
      <c r="K28" s="390"/>
      <c r="L28" s="391"/>
      <c r="M28" s="208"/>
      <c r="N28" s="96"/>
      <c r="O28" s="96"/>
    </row>
    <row r="29" spans="1:15" ht="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sheetProtection sheet="1" objects="1" scenarios="1"/>
  <mergeCells count="4">
    <mergeCell ref="B23:E24"/>
    <mergeCell ref="B25:E26"/>
    <mergeCell ref="B11:E12"/>
    <mergeCell ref="B13:E14"/>
  </mergeCells>
  <conditionalFormatting sqref="B10:I14">
    <cfRule type="expression" priority="1" dxfId="4" stopIfTrue="1">
      <formula>$D$6&gt;1.5</formula>
    </cfRule>
  </conditionalFormatting>
  <conditionalFormatting sqref="B22:I26">
    <cfRule type="expression" priority="2" dxfId="3" stopIfTrue="1">
      <formula>$D$18&gt;38.5</formula>
    </cfRule>
  </conditionalFormatting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B1:F22"/>
  <sheetViews>
    <sheetView showGridLines="0" showRowColHeaders="0" zoomScalePageLayoutView="0" workbookViewId="0" topLeftCell="A1">
      <selection activeCell="H29" sqref="H28:H29"/>
    </sheetView>
  </sheetViews>
  <sheetFormatPr defaultColWidth="8.88671875" defaultRowHeight="15"/>
  <cols>
    <col min="1" max="1" width="3.77734375" style="0" customWidth="1"/>
  </cols>
  <sheetData>
    <row r="1" spans="2:5" ht="26.25">
      <c r="B1" s="376" t="s">
        <v>138</v>
      </c>
      <c r="C1" s="377"/>
      <c r="D1" s="377"/>
      <c r="E1" s="378"/>
    </row>
    <row r="2" spans="2:5" ht="15">
      <c r="B2" s="365"/>
      <c r="C2" s="366"/>
      <c r="D2" s="366"/>
      <c r="E2" s="367"/>
    </row>
    <row r="3" spans="2:5" ht="15">
      <c r="B3" s="341"/>
      <c r="C3" s="342"/>
      <c r="D3" s="343" t="s">
        <v>127</v>
      </c>
      <c r="E3" s="344"/>
    </row>
    <row r="4" spans="2:5" ht="15">
      <c r="B4" s="345" t="s">
        <v>139</v>
      </c>
      <c r="C4" s="346" t="s">
        <v>140</v>
      </c>
      <c r="D4" s="346" t="s">
        <v>141</v>
      </c>
      <c r="E4" s="347" t="s">
        <v>142</v>
      </c>
    </row>
    <row r="5" spans="2:6" ht="16.5" customHeight="1">
      <c r="B5" s="348"/>
      <c r="C5" s="349">
        <f>IF(Data!S3=0,"",Data!S3)</f>
      </c>
      <c r="D5" s="349">
        <f>IF(Data!S4=0,"",Data!S4)</f>
        <v>97</v>
      </c>
      <c r="E5" s="350">
        <f>IF(Data!S5=0,"",Data!S5)</f>
        <v>0.15</v>
      </c>
      <c r="F5" s="351"/>
    </row>
    <row r="6" spans="2:6" ht="15">
      <c r="B6" s="352"/>
      <c r="C6" s="353"/>
      <c r="D6" s="353"/>
      <c r="E6" s="354"/>
      <c r="F6" s="351"/>
    </row>
    <row r="7" spans="2:6" ht="15">
      <c r="B7" s="355"/>
      <c r="C7" s="356"/>
      <c r="D7" s="357"/>
      <c r="E7" s="358"/>
      <c r="F7" s="351"/>
    </row>
    <row r="8" spans="2:5" ht="15">
      <c r="B8" s="359" t="s">
        <v>142</v>
      </c>
      <c r="C8" s="360" t="s">
        <v>139</v>
      </c>
      <c r="D8" s="361"/>
      <c r="E8" s="362"/>
    </row>
    <row r="9" spans="2:5" ht="16.5" customHeight="1">
      <c r="B9" s="363"/>
      <c r="C9" s="361">
        <f>Data!S21</f>
        <v>0.0059</v>
      </c>
      <c r="D9" s="364"/>
      <c r="E9" s="362"/>
    </row>
    <row r="10" spans="2:5" ht="15">
      <c r="B10" s="365"/>
      <c r="C10" s="366"/>
      <c r="D10" s="366"/>
      <c r="E10" s="367"/>
    </row>
    <row r="11" spans="2:5" ht="15">
      <c r="B11" s="341"/>
      <c r="C11" s="342"/>
      <c r="D11" s="342"/>
      <c r="E11" s="344"/>
    </row>
    <row r="12" spans="2:5" ht="15">
      <c r="B12" s="368" t="s">
        <v>127</v>
      </c>
      <c r="C12" s="346" t="s">
        <v>139</v>
      </c>
      <c r="D12" s="369"/>
      <c r="E12" s="370"/>
    </row>
    <row r="13" spans="2:5" ht="16.5" customHeight="1">
      <c r="B13" s="371"/>
      <c r="C13" s="349">
        <f>Data!S17</f>
        <v>0.228</v>
      </c>
      <c r="D13" s="369"/>
      <c r="E13" s="370"/>
    </row>
    <row r="14" spans="2:5" ht="15">
      <c r="B14" s="372"/>
      <c r="C14" s="373"/>
      <c r="D14" s="373"/>
      <c r="E14" s="374"/>
    </row>
    <row r="15" spans="2:5" ht="15">
      <c r="B15" s="355"/>
      <c r="C15" s="356"/>
      <c r="D15" s="356"/>
      <c r="E15" s="375"/>
    </row>
    <row r="16" spans="2:5" ht="15">
      <c r="B16" s="359" t="s">
        <v>140</v>
      </c>
      <c r="C16" s="360" t="s">
        <v>139</v>
      </c>
      <c r="D16" s="364"/>
      <c r="E16" s="362"/>
    </row>
    <row r="17" spans="2:5" ht="16.5" customHeight="1">
      <c r="B17" s="363"/>
      <c r="C17" s="361">
        <f>Data!S9</f>
        <v>0.0156</v>
      </c>
      <c r="D17" s="364"/>
      <c r="E17" s="362"/>
    </row>
    <row r="18" spans="2:5" ht="15">
      <c r="B18" s="365"/>
      <c r="C18" s="366"/>
      <c r="D18" s="366"/>
      <c r="E18" s="367"/>
    </row>
    <row r="19" spans="2:5" ht="15">
      <c r="B19" s="341"/>
      <c r="C19" s="342"/>
      <c r="D19" s="342"/>
      <c r="E19" s="344"/>
    </row>
    <row r="20" spans="2:5" ht="15">
      <c r="B20" s="368" t="s">
        <v>143</v>
      </c>
      <c r="C20" s="346" t="s">
        <v>139</v>
      </c>
      <c r="D20" s="369"/>
      <c r="E20" s="370"/>
    </row>
    <row r="21" spans="2:5" ht="16.5" customHeight="1">
      <c r="B21" s="371"/>
      <c r="C21" s="349">
        <f>Data!S13</f>
        <v>0.234</v>
      </c>
      <c r="D21" s="369"/>
      <c r="E21" s="370"/>
    </row>
    <row r="22" spans="2:5" ht="15">
      <c r="B22" s="372"/>
      <c r="C22" s="373"/>
      <c r="D22" s="373"/>
      <c r="E22" s="374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Sudharsanan.D</dc:creator>
  <cp:keywords/>
  <dc:description>Enter the required information to obtain a solution to an assortment of mathematical problems.
Updated 8/6/03</dc:description>
  <cp:lastModifiedBy>sbv2ban</cp:lastModifiedBy>
  <cp:lastPrinted>2006-01-11T01:28:40Z</cp:lastPrinted>
  <dcterms:created xsi:type="dcterms:W3CDTF">2001-02-11T20:27:08Z</dcterms:created>
  <dcterms:modified xsi:type="dcterms:W3CDTF">2007-10-30T05:59:34Z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